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" windowWidth="11340" windowHeight="7305"/>
  </bookViews>
  <sheets>
    <sheet name="Tep_ztraty_Nocležna_III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Q269" i="1"/>
  <c r="Q268"/>
  <c r="Q267"/>
  <c r="Q266"/>
  <c r="Q265"/>
  <c r="Q264"/>
  <c r="Q263"/>
  <c r="Q262"/>
  <c r="Q261"/>
  <c r="Q258"/>
  <c r="Q257"/>
  <c r="Q256"/>
  <c r="Q255"/>
  <c r="Q254"/>
  <c r="Q253"/>
  <c r="Q252"/>
  <c r="G269"/>
  <c r="D247"/>
  <c r="H247" s="1"/>
  <c r="E242"/>
  <c r="H242" s="1"/>
  <c r="L242" s="1"/>
  <c r="E241"/>
  <c r="H241" s="1"/>
  <c r="L241" s="1"/>
  <c r="K241"/>
  <c r="G236"/>
  <c r="G234"/>
  <c r="H233"/>
  <c r="H246" s="1"/>
  <c r="K243"/>
  <c r="K242"/>
  <c r="K240"/>
  <c r="E240"/>
  <c r="H240" s="1"/>
  <c r="L240" s="1"/>
  <c r="K239"/>
  <c r="E239"/>
  <c r="H239" s="1"/>
  <c r="L239" s="1"/>
  <c r="K238"/>
  <c r="E238"/>
  <c r="H238" s="1"/>
  <c r="L238" s="1"/>
  <c r="K237"/>
  <c r="G237"/>
  <c r="E237"/>
  <c r="K236"/>
  <c r="E236"/>
  <c r="K235"/>
  <c r="G235"/>
  <c r="E235"/>
  <c r="H235" s="1"/>
  <c r="L235" s="1"/>
  <c r="K234"/>
  <c r="E234"/>
  <c r="D230"/>
  <c r="E225"/>
  <c r="G223"/>
  <c r="E223"/>
  <c r="K222"/>
  <c r="K223"/>
  <c r="E222"/>
  <c r="H222" s="1"/>
  <c r="L222" s="1"/>
  <c r="G221"/>
  <c r="G220"/>
  <c r="G219"/>
  <c r="C219"/>
  <c r="E219" s="1"/>
  <c r="H217"/>
  <c r="H230"/>
  <c r="K226"/>
  <c r="K225"/>
  <c r="H225"/>
  <c r="L225" s="1"/>
  <c r="K224"/>
  <c r="E224"/>
  <c r="H224" s="1"/>
  <c r="L224" s="1"/>
  <c r="K221"/>
  <c r="E221"/>
  <c r="H221" s="1"/>
  <c r="L221" s="1"/>
  <c r="K220"/>
  <c r="E220"/>
  <c r="K219"/>
  <c r="K218"/>
  <c r="E218"/>
  <c r="H229"/>
  <c r="D214"/>
  <c r="G205"/>
  <c r="G203"/>
  <c r="H202"/>
  <c r="H213" s="1"/>
  <c r="H214"/>
  <c r="K210"/>
  <c r="K209"/>
  <c r="E209"/>
  <c r="H209" s="1"/>
  <c r="L209" s="1"/>
  <c r="K208"/>
  <c r="E208"/>
  <c r="H208" s="1"/>
  <c r="L208" s="1"/>
  <c r="K207"/>
  <c r="E207"/>
  <c r="H207" s="1"/>
  <c r="L207" s="1"/>
  <c r="K206"/>
  <c r="E206"/>
  <c r="H206" s="1"/>
  <c r="L206" s="1"/>
  <c r="K205"/>
  <c r="E205"/>
  <c r="H205" s="1"/>
  <c r="L205" s="1"/>
  <c r="K204"/>
  <c r="E204"/>
  <c r="H204" s="1"/>
  <c r="L204" s="1"/>
  <c r="K203"/>
  <c r="E203"/>
  <c r="D199"/>
  <c r="E192"/>
  <c r="H192" s="1"/>
  <c r="L192" s="1"/>
  <c r="G190"/>
  <c r="G189"/>
  <c r="G187"/>
  <c r="H185"/>
  <c r="H198" s="1"/>
  <c r="H199"/>
  <c r="K195"/>
  <c r="K194"/>
  <c r="E194"/>
  <c r="E195" s="1"/>
  <c r="H195" s="1"/>
  <c r="L195" s="1"/>
  <c r="K193"/>
  <c r="E193"/>
  <c r="H193" s="1"/>
  <c r="L193" s="1"/>
  <c r="K192"/>
  <c r="K191"/>
  <c r="E191"/>
  <c r="H191" s="1"/>
  <c r="L191" s="1"/>
  <c r="K190"/>
  <c r="E190"/>
  <c r="K189"/>
  <c r="E189"/>
  <c r="K188"/>
  <c r="E188"/>
  <c r="H188" s="1"/>
  <c r="L188" s="1"/>
  <c r="K187"/>
  <c r="E187"/>
  <c r="K186"/>
  <c r="E186"/>
  <c r="D182"/>
  <c r="H182" s="1"/>
  <c r="E175"/>
  <c r="H175" s="1"/>
  <c r="L175" s="1"/>
  <c r="K175"/>
  <c r="G173"/>
  <c r="E172"/>
  <c r="H172" s="1"/>
  <c r="L172" s="1"/>
  <c r="K172"/>
  <c r="E173"/>
  <c r="K173"/>
  <c r="G170"/>
  <c r="G168"/>
  <c r="H167"/>
  <c r="H181" s="1"/>
  <c r="H183" s="1"/>
  <c r="Q182" s="1"/>
  <c r="K178"/>
  <c r="K177"/>
  <c r="E177"/>
  <c r="H177" s="1"/>
  <c r="L177" s="1"/>
  <c r="K176"/>
  <c r="E176"/>
  <c r="H176" s="1"/>
  <c r="L176" s="1"/>
  <c r="K174"/>
  <c r="E174"/>
  <c r="H174" s="1"/>
  <c r="L174" s="1"/>
  <c r="K171"/>
  <c r="E171"/>
  <c r="H171" s="1"/>
  <c r="L171" s="1"/>
  <c r="K170"/>
  <c r="E170"/>
  <c r="K169"/>
  <c r="E169"/>
  <c r="H169" s="1"/>
  <c r="L169" s="1"/>
  <c r="K168"/>
  <c r="E168"/>
  <c r="E159"/>
  <c r="E158"/>
  <c r="H158" s="1"/>
  <c r="L158" s="1"/>
  <c r="H152"/>
  <c r="H163" s="1"/>
  <c r="D164"/>
  <c r="H164" s="1"/>
  <c r="K160"/>
  <c r="K159"/>
  <c r="H159"/>
  <c r="L159" s="1"/>
  <c r="K158"/>
  <c r="K157"/>
  <c r="E157"/>
  <c r="H157" s="1"/>
  <c r="L157" s="1"/>
  <c r="K156"/>
  <c r="E156"/>
  <c r="H156" s="1"/>
  <c r="L156" s="1"/>
  <c r="K155"/>
  <c r="E155"/>
  <c r="H155" s="1"/>
  <c r="L155" s="1"/>
  <c r="K154"/>
  <c r="E154"/>
  <c r="H154" s="1"/>
  <c r="L154" s="1"/>
  <c r="K153"/>
  <c r="G153"/>
  <c r="E153"/>
  <c r="D149"/>
  <c r="H149" s="1"/>
  <c r="E144"/>
  <c r="E145" s="1"/>
  <c r="H145" s="1"/>
  <c r="L145" s="1"/>
  <c r="E142"/>
  <c r="H142" s="1"/>
  <c r="L142" s="1"/>
  <c r="E141"/>
  <c r="H141" s="1"/>
  <c r="L141" s="1"/>
  <c r="K141"/>
  <c r="C140"/>
  <c r="G139"/>
  <c r="H136"/>
  <c r="H148" s="1"/>
  <c r="G137"/>
  <c r="K145"/>
  <c r="K144"/>
  <c r="K143"/>
  <c r="E143"/>
  <c r="H143" s="1"/>
  <c r="L143" s="1"/>
  <c r="K142"/>
  <c r="K140"/>
  <c r="E140"/>
  <c r="H140" s="1"/>
  <c r="L140" s="1"/>
  <c r="K139"/>
  <c r="E139"/>
  <c r="K138"/>
  <c r="E138"/>
  <c r="H138" s="1"/>
  <c r="L138" s="1"/>
  <c r="K137"/>
  <c r="E137"/>
  <c r="H105"/>
  <c r="H116" s="1"/>
  <c r="H120"/>
  <c r="H132" s="1"/>
  <c r="K127"/>
  <c r="E127"/>
  <c r="H127" s="1"/>
  <c r="L127" s="1"/>
  <c r="G124"/>
  <c r="H133"/>
  <c r="K129"/>
  <c r="K128"/>
  <c r="E128"/>
  <c r="E129" s="1"/>
  <c r="H129" s="1"/>
  <c r="L129" s="1"/>
  <c r="K126"/>
  <c r="E126"/>
  <c r="H126" s="1"/>
  <c r="L126" s="1"/>
  <c r="K125"/>
  <c r="E125"/>
  <c r="H125" s="1"/>
  <c r="L125" s="1"/>
  <c r="K124"/>
  <c r="E124"/>
  <c r="K123"/>
  <c r="G123"/>
  <c r="E123"/>
  <c r="K122"/>
  <c r="E122"/>
  <c r="H122" s="1"/>
  <c r="L122" s="1"/>
  <c r="K121"/>
  <c r="G121"/>
  <c r="E121"/>
  <c r="E112"/>
  <c r="E111"/>
  <c r="H111" s="1"/>
  <c r="L111" s="1"/>
  <c r="G108"/>
  <c r="G107"/>
  <c r="G106"/>
  <c r="H117"/>
  <c r="K113"/>
  <c r="K112"/>
  <c r="H112"/>
  <c r="L112" s="1"/>
  <c r="K111"/>
  <c r="K110"/>
  <c r="E110"/>
  <c r="H110" s="1"/>
  <c r="L110" s="1"/>
  <c r="K109"/>
  <c r="E109"/>
  <c r="H109" s="1"/>
  <c r="L109" s="1"/>
  <c r="K108"/>
  <c r="E108"/>
  <c r="K107"/>
  <c r="E107"/>
  <c r="H107" s="1"/>
  <c r="L107" s="1"/>
  <c r="K106"/>
  <c r="E106"/>
  <c r="D102"/>
  <c r="H102" s="1"/>
  <c r="H90"/>
  <c r="H101" s="1"/>
  <c r="E97"/>
  <c r="E98" s="1"/>
  <c r="H98" s="1"/>
  <c r="L98" s="1"/>
  <c r="K95"/>
  <c r="E95"/>
  <c r="H95" s="1"/>
  <c r="L95" s="1"/>
  <c r="G93"/>
  <c r="C92"/>
  <c r="E92" s="1"/>
  <c r="H92" s="1"/>
  <c r="L92" s="1"/>
  <c r="G91"/>
  <c r="K98"/>
  <c r="K97"/>
  <c r="K96"/>
  <c r="E96"/>
  <c r="H96" s="1"/>
  <c r="L96" s="1"/>
  <c r="K94"/>
  <c r="E94"/>
  <c r="H94" s="1"/>
  <c r="L94" s="1"/>
  <c r="K93"/>
  <c r="E93"/>
  <c r="H93" s="1"/>
  <c r="L93" s="1"/>
  <c r="K92"/>
  <c r="K91"/>
  <c r="E91"/>
  <c r="H59"/>
  <c r="H72" s="1"/>
  <c r="K83"/>
  <c r="E83"/>
  <c r="H83" s="1"/>
  <c r="L83" s="1"/>
  <c r="K82"/>
  <c r="E82"/>
  <c r="H82" s="1"/>
  <c r="L82" s="1"/>
  <c r="D87"/>
  <c r="H76"/>
  <c r="E80"/>
  <c r="H80" s="1"/>
  <c r="L80" s="1"/>
  <c r="K80"/>
  <c r="C79"/>
  <c r="G78"/>
  <c r="C78"/>
  <c r="G77"/>
  <c r="H87"/>
  <c r="K81"/>
  <c r="E81"/>
  <c r="H81" s="1"/>
  <c r="L81" s="1"/>
  <c r="K79"/>
  <c r="E79"/>
  <c r="H79" s="1"/>
  <c r="L79" s="1"/>
  <c r="K78"/>
  <c r="E78"/>
  <c r="K77"/>
  <c r="E77"/>
  <c r="H86"/>
  <c r="D73"/>
  <c r="E69"/>
  <c r="H69" s="1"/>
  <c r="L69" s="1"/>
  <c r="E68"/>
  <c r="H68" s="1"/>
  <c r="L68" s="1"/>
  <c r="E65"/>
  <c r="H65" s="1"/>
  <c r="L65" s="1"/>
  <c r="E66"/>
  <c r="H66" s="1"/>
  <c r="L66" s="1"/>
  <c r="E67"/>
  <c r="H67" s="1"/>
  <c r="L67" s="1"/>
  <c r="K67"/>
  <c r="E64"/>
  <c r="K64"/>
  <c r="G64"/>
  <c r="G63"/>
  <c r="C63"/>
  <c r="E63" s="1"/>
  <c r="H73"/>
  <c r="K69"/>
  <c r="K68"/>
  <c r="K66"/>
  <c r="K65"/>
  <c r="K63"/>
  <c r="K62"/>
  <c r="E62"/>
  <c r="H62" s="1"/>
  <c r="L62" s="1"/>
  <c r="K61"/>
  <c r="E61"/>
  <c r="H61" s="1"/>
  <c r="L61" s="1"/>
  <c r="K60"/>
  <c r="G60"/>
  <c r="E60"/>
  <c r="D56"/>
  <c r="H44"/>
  <c r="G47"/>
  <c r="G45"/>
  <c r="H56"/>
  <c r="K52"/>
  <c r="E52"/>
  <c r="H52" s="1"/>
  <c r="L52" s="1"/>
  <c r="K51"/>
  <c r="E51"/>
  <c r="H51" s="1"/>
  <c r="L51" s="1"/>
  <c r="K50"/>
  <c r="E50"/>
  <c r="H50" s="1"/>
  <c r="L50" s="1"/>
  <c r="K49"/>
  <c r="E49"/>
  <c r="H49" s="1"/>
  <c r="L49" s="1"/>
  <c r="K48"/>
  <c r="E48"/>
  <c r="H48" s="1"/>
  <c r="L48" s="1"/>
  <c r="K47"/>
  <c r="E47"/>
  <c r="H47" s="1"/>
  <c r="L47" s="1"/>
  <c r="K46"/>
  <c r="E46"/>
  <c r="H46" s="1"/>
  <c r="L46" s="1"/>
  <c r="K45"/>
  <c r="E45"/>
  <c r="E53" s="1"/>
  <c r="N45" s="1"/>
  <c r="H55"/>
  <c r="D23"/>
  <c r="H23" s="1"/>
  <c r="D41"/>
  <c r="H41" s="1"/>
  <c r="H26"/>
  <c r="H40" s="1"/>
  <c r="E35"/>
  <c r="H35" s="1"/>
  <c r="L35" s="1"/>
  <c r="K35"/>
  <c r="E32"/>
  <c r="H32" s="1"/>
  <c r="L32" s="1"/>
  <c r="E31"/>
  <c r="H31" s="1"/>
  <c r="L31" s="1"/>
  <c r="G30"/>
  <c r="G29"/>
  <c r="G28"/>
  <c r="K37"/>
  <c r="E37"/>
  <c r="H37" s="1"/>
  <c r="L37" s="1"/>
  <c r="K36"/>
  <c r="E36"/>
  <c r="H36" s="1"/>
  <c r="L36" s="1"/>
  <c r="K34"/>
  <c r="E34"/>
  <c r="H34" s="1"/>
  <c r="L34" s="1"/>
  <c r="K33"/>
  <c r="E33"/>
  <c r="H33" s="1"/>
  <c r="L33" s="1"/>
  <c r="K32"/>
  <c r="K31"/>
  <c r="K30"/>
  <c r="E30"/>
  <c r="K29"/>
  <c r="E29"/>
  <c r="K28"/>
  <c r="E28"/>
  <c r="K27"/>
  <c r="G27"/>
  <c r="E27"/>
  <c r="E18"/>
  <c r="E19"/>
  <c r="H19" s="1"/>
  <c r="L19" s="1"/>
  <c r="H18"/>
  <c r="L18" s="1"/>
  <c r="K18"/>
  <c r="K19"/>
  <c r="E15"/>
  <c r="H15" s="1"/>
  <c r="L15" s="1"/>
  <c r="E14"/>
  <c r="H14" s="1"/>
  <c r="L14" s="1"/>
  <c r="G13"/>
  <c r="G12"/>
  <c r="G11"/>
  <c r="H9"/>
  <c r="G10"/>
  <c r="H22"/>
  <c r="E10"/>
  <c r="K10"/>
  <c r="E11"/>
  <c r="H11" s="1"/>
  <c r="L11" s="1"/>
  <c r="K11"/>
  <c r="E12"/>
  <c r="K12"/>
  <c r="E13"/>
  <c r="K13"/>
  <c r="K14"/>
  <c r="K15"/>
  <c r="E16"/>
  <c r="H16" s="1"/>
  <c r="L16" s="1"/>
  <c r="K16"/>
  <c r="E17"/>
  <c r="H17" s="1"/>
  <c r="L17" s="1"/>
  <c r="K17"/>
  <c r="H165" l="1"/>
  <c r="Q164" s="1"/>
  <c r="H173"/>
  <c r="L173" s="1"/>
  <c r="H220"/>
  <c r="L220" s="1"/>
  <c r="H236"/>
  <c r="L236" s="1"/>
  <c r="H237"/>
  <c r="L237" s="1"/>
  <c r="H248"/>
  <c r="Q247" s="1"/>
  <c r="H234"/>
  <c r="L234" s="1"/>
  <c r="E243"/>
  <c r="H243" s="1"/>
  <c r="L243" s="1"/>
  <c r="H223"/>
  <c r="L223" s="1"/>
  <c r="H219"/>
  <c r="L219" s="1"/>
  <c r="H231"/>
  <c r="Q230" s="1"/>
  <c r="H218"/>
  <c r="L218" s="1"/>
  <c r="E226"/>
  <c r="H226" s="1"/>
  <c r="L226" s="1"/>
  <c r="H215"/>
  <c r="Q214" s="1"/>
  <c r="H74"/>
  <c r="Q73" s="1"/>
  <c r="H170"/>
  <c r="L170" s="1"/>
  <c r="H187"/>
  <c r="L187" s="1"/>
  <c r="H139"/>
  <c r="L139" s="1"/>
  <c r="H203"/>
  <c r="L203" s="1"/>
  <c r="E210"/>
  <c r="H210" s="1"/>
  <c r="L210" s="1"/>
  <c r="H200"/>
  <c r="Q199" s="1"/>
  <c r="H29"/>
  <c r="L29" s="1"/>
  <c r="H57"/>
  <c r="Q56" s="1"/>
  <c r="H118"/>
  <c r="Q117" s="1"/>
  <c r="H168"/>
  <c r="L168" s="1"/>
  <c r="E196"/>
  <c r="N186" s="1"/>
  <c r="H189"/>
  <c r="L189" s="1"/>
  <c r="H194"/>
  <c r="L194" s="1"/>
  <c r="H190"/>
  <c r="L190" s="1"/>
  <c r="H186"/>
  <c r="L186" s="1"/>
  <c r="E178"/>
  <c r="H178" s="1"/>
  <c r="L178" s="1"/>
  <c r="K180" s="1"/>
  <c r="H153"/>
  <c r="L153" s="1"/>
  <c r="E160"/>
  <c r="H160" s="1"/>
  <c r="L160" s="1"/>
  <c r="H150"/>
  <c r="Q149" s="1"/>
  <c r="E146"/>
  <c r="N137" s="1"/>
  <c r="H144"/>
  <c r="L144" s="1"/>
  <c r="E84"/>
  <c r="N77" s="1"/>
  <c r="H78"/>
  <c r="L78" s="1"/>
  <c r="H97"/>
  <c r="L97" s="1"/>
  <c r="H106"/>
  <c r="L106" s="1"/>
  <c r="H108"/>
  <c r="L108" s="1"/>
  <c r="H134"/>
  <c r="Q133" s="1"/>
  <c r="H123"/>
  <c r="L123" s="1"/>
  <c r="H128"/>
  <c r="L128" s="1"/>
  <c r="H124"/>
  <c r="L124" s="1"/>
  <c r="H137"/>
  <c r="L137" s="1"/>
  <c r="K147" s="1"/>
  <c r="E130"/>
  <c r="N121" s="1"/>
  <c r="H121"/>
  <c r="L121" s="1"/>
  <c r="E113"/>
  <c r="H113" s="1"/>
  <c r="L113" s="1"/>
  <c r="K115" s="1"/>
  <c r="H103"/>
  <c r="Q102" s="1"/>
  <c r="E99"/>
  <c r="N91" s="1"/>
  <c r="H91"/>
  <c r="L91" s="1"/>
  <c r="K100" s="1"/>
  <c r="H12"/>
  <c r="L12" s="1"/>
  <c r="H42"/>
  <c r="Q41" s="1"/>
  <c r="H28"/>
  <c r="L28" s="1"/>
  <c r="H64"/>
  <c r="L64" s="1"/>
  <c r="H88"/>
  <c r="Q87" s="1"/>
  <c r="H77"/>
  <c r="L77" s="1"/>
  <c r="K85" s="1"/>
  <c r="E70"/>
  <c r="N60" s="1"/>
  <c r="H63"/>
  <c r="L63" s="1"/>
  <c r="H60"/>
  <c r="L60" s="1"/>
  <c r="E20"/>
  <c r="H45"/>
  <c r="L45" s="1"/>
  <c r="K54" s="1"/>
  <c r="H30"/>
  <c r="L30" s="1"/>
  <c r="E38"/>
  <c r="N27" s="1"/>
  <c r="H27"/>
  <c r="L27" s="1"/>
  <c r="H13"/>
  <c r="L13" s="1"/>
  <c r="N10"/>
  <c r="H24"/>
  <c r="Q23" s="1"/>
  <c r="H10"/>
  <c r="L10" s="1"/>
  <c r="E114" l="1"/>
  <c r="N106" s="1"/>
  <c r="K131"/>
  <c r="E244"/>
  <c r="N234" s="1"/>
  <c r="K245"/>
  <c r="E227"/>
  <c r="N218" s="1"/>
  <c r="K228"/>
  <c r="E179"/>
  <c r="N168" s="1"/>
  <c r="N169" s="1"/>
  <c r="M180" s="1"/>
  <c r="P180" s="1"/>
  <c r="Q181" s="1"/>
  <c r="Q183" s="1"/>
  <c r="H263" s="1"/>
  <c r="E211"/>
  <c r="N203" s="1"/>
  <c r="K212"/>
  <c r="E161"/>
  <c r="N153" s="1"/>
  <c r="K197"/>
  <c r="N187" s="1"/>
  <c r="M197" s="1"/>
  <c r="P197" s="1"/>
  <c r="Q198" s="1"/>
  <c r="Q200" s="1"/>
  <c r="H264" s="1"/>
  <c r="K162"/>
  <c r="K21"/>
  <c r="N11" s="1"/>
  <c r="M21" s="1"/>
  <c r="P21" s="1"/>
  <c r="Q22" s="1"/>
  <c r="Q24" s="1"/>
  <c r="H252" s="1"/>
  <c r="N138"/>
  <c r="M147" s="1"/>
  <c r="P147" s="1"/>
  <c r="Q148" s="1"/>
  <c r="Q150" s="1"/>
  <c r="H261" s="1"/>
  <c r="N122"/>
  <c r="M131" s="1"/>
  <c r="P131" s="1"/>
  <c r="Q132" s="1"/>
  <c r="Q134" s="1"/>
  <c r="H260" s="1"/>
  <c r="N107"/>
  <c r="M115" s="1"/>
  <c r="P115" s="1"/>
  <c r="Q116" s="1"/>
  <c r="Q118" s="1"/>
  <c r="H259" s="1"/>
  <c r="N92"/>
  <c r="M100" s="1"/>
  <c r="P100" s="1"/>
  <c r="Q101" s="1"/>
  <c r="Q103" s="1"/>
  <c r="H258" s="1"/>
  <c r="N78"/>
  <c r="M85" s="1"/>
  <c r="P85" s="1"/>
  <c r="Q86" s="1"/>
  <c r="Q88" s="1"/>
  <c r="H257" s="1"/>
  <c r="K71"/>
  <c r="N61" s="1"/>
  <c r="M71" s="1"/>
  <c r="P71" s="1"/>
  <c r="Q72" s="1"/>
  <c r="Q74" s="1"/>
  <c r="H256" s="1"/>
  <c r="N46"/>
  <c r="M54" s="1"/>
  <c r="P54" s="1"/>
  <c r="Q55" s="1"/>
  <c r="Q57" s="1"/>
  <c r="H255" s="1"/>
  <c r="K39"/>
  <c r="N28" s="1"/>
  <c r="M39" s="1"/>
  <c r="P39" s="1"/>
  <c r="Q40" s="1"/>
  <c r="Q42" s="1"/>
  <c r="H254" s="1"/>
  <c r="N235" l="1"/>
  <c r="M245" s="1"/>
  <c r="P245" s="1"/>
  <c r="Q246" s="1"/>
  <c r="Q248" s="1"/>
  <c r="H268" s="1"/>
  <c r="N219"/>
  <c r="M228" s="1"/>
  <c r="P228" s="1"/>
  <c r="Q229" s="1"/>
  <c r="Q231" s="1"/>
  <c r="H267" s="1"/>
  <c r="N204"/>
  <c r="M212" s="1"/>
  <c r="P212" s="1"/>
  <c r="Q213" s="1"/>
  <c r="Q215" s="1"/>
  <c r="H266" s="1"/>
  <c r="N154"/>
  <c r="M162" s="1"/>
  <c r="P162" s="1"/>
  <c r="Q163" s="1"/>
  <c r="Q165" s="1"/>
  <c r="H262" s="1"/>
  <c r="H269" l="1"/>
</calcChain>
</file>

<file path=xl/sharedStrings.xml><?xml version="1.0" encoding="utf-8"?>
<sst xmlns="http://schemas.openxmlformats.org/spreadsheetml/2006/main" count="620" uniqueCount="214">
  <si>
    <t>Plocha stěny</t>
  </si>
  <si>
    <t>Základní tepelná ztráta</t>
  </si>
  <si>
    <t>Přirážky</t>
  </si>
  <si>
    <t>Ozn.   Stěny</t>
  </si>
  <si>
    <t>Tlouštka   stěny</t>
  </si>
  <si>
    <t>Délka</t>
  </si>
  <si>
    <t>Šířka Výška</t>
  </si>
  <si>
    <t>Plocha</t>
  </si>
  <si>
    <t>Počet otvorů</t>
  </si>
  <si>
    <t>Plocha bez otvorů</t>
  </si>
  <si>
    <t>Souč. prostupu    tepla</t>
  </si>
  <si>
    <t>Rozdíl teplot</t>
  </si>
  <si>
    <t>Tepl. Ztráta</t>
  </si>
  <si>
    <t>P1</t>
  </si>
  <si>
    <t>P2</t>
  </si>
  <si>
    <t>P3</t>
  </si>
  <si>
    <t>Qo</t>
  </si>
  <si>
    <t>Qv=1300*Vv*(ti-te)</t>
  </si>
  <si>
    <t>Vv=</t>
  </si>
  <si>
    <t>V=</t>
  </si>
  <si>
    <t>m</t>
  </si>
  <si>
    <t>Qo=</t>
  </si>
  <si>
    <t>S=</t>
  </si>
  <si>
    <t>Kc=</t>
  </si>
  <si>
    <t>Qp=</t>
  </si>
  <si>
    <t>Vvh=</t>
  </si>
  <si>
    <t>Vvp=</t>
  </si>
  <si>
    <t>B=</t>
  </si>
  <si>
    <t>M=</t>
  </si>
  <si>
    <t>Qv=</t>
  </si>
  <si>
    <t>SO1</t>
  </si>
  <si>
    <t>SO2</t>
  </si>
  <si>
    <t>SN1</t>
  </si>
  <si>
    <t>U</t>
  </si>
  <si>
    <t>Δt</t>
  </si>
  <si>
    <t>UxΔt</t>
  </si>
  <si>
    <t>SO</t>
  </si>
  <si>
    <t>Stěna ochlazovaná</t>
  </si>
  <si>
    <t>SN</t>
  </si>
  <si>
    <t>Stěna neochlazovaná</t>
  </si>
  <si>
    <t>Podlaha</t>
  </si>
  <si>
    <t>Střecha</t>
  </si>
  <si>
    <t>Vliv chladných konstrukcí</t>
  </si>
  <si>
    <t>Urychlení zátopu</t>
  </si>
  <si>
    <t>Kc</t>
  </si>
  <si>
    <t>Průměrný součinitel prostupu tepla</t>
  </si>
  <si>
    <t>ΣS</t>
  </si>
  <si>
    <t>Celková plocha všech kcí ohraničujících místnost</t>
  </si>
  <si>
    <t>Světová strana Příloha P2.1</t>
  </si>
  <si>
    <t>Qv</t>
  </si>
  <si>
    <t>Tepelná ztráta místnosti větráním</t>
  </si>
  <si>
    <t>cv</t>
  </si>
  <si>
    <t>Objemová tepelná kapacita vzduchu</t>
  </si>
  <si>
    <t>Vv</t>
  </si>
  <si>
    <t>Objemový průtok větracího vzduchu</t>
  </si>
  <si>
    <t>Vvh</t>
  </si>
  <si>
    <t>Odvod škodlivin dle předepsané výměny intenzity vzduchu</t>
  </si>
  <si>
    <t>Vvp</t>
  </si>
  <si>
    <t>Přirozené větrání infiltrací netěsnými sparami</t>
  </si>
  <si>
    <t>Xh</t>
  </si>
  <si>
    <t>Vm</t>
  </si>
  <si>
    <t>Vnitřní objem místnosti</t>
  </si>
  <si>
    <t>i</t>
  </si>
  <si>
    <t>Souč. spárové průvzdušnosti</t>
  </si>
  <si>
    <t>l</t>
  </si>
  <si>
    <t>Délka spar otvíratelných částí oken</t>
  </si>
  <si>
    <t>B</t>
  </si>
  <si>
    <t>M</t>
  </si>
  <si>
    <t>Char. Číslo budovy viz příloha P2.1</t>
  </si>
  <si>
    <t>Char. Číslo místnosti viz příloha P2.1</t>
  </si>
  <si>
    <t>Souč. prostupu tepla U</t>
  </si>
  <si>
    <t>Tl. zdi</t>
  </si>
  <si>
    <t>Dveře vnitřní</t>
  </si>
  <si>
    <t>SO3</t>
  </si>
  <si>
    <t>Vypracoval: Ing. Pavel Viktora</t>
  </si>
  <si>
    <t>V Havlíčkově Brodě</t>
  </si>
  <si>
    <t>ti</t>
  </si>
  <si>
    <t>te</t>
  </si>
  <si>
    <t>Celková tepel. ztráta Qc</t>
  </si>
  <si>
    <r>
      <t>1.01 Garáž č. 1 + sklad,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</si>
  <si>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Plocha otvoru</t>
  </si>
  <si>
    <t>SN4</t>
  </si>
  <si>
    <t>O1</t>
  </si>
  <si>
    <t>O2</t>
  </si>
  <si>
    <t>V1</t>
  </si>
  <si>
    <t>D1</t>
  </si>
  <si>
    <t>STR</t>
  </si>
  <si>
    <t>PDL</t>
  </si>
  <si>
    <t>L=</t>
  </si>
  <si>
    <r>
      <t>i</t>
    </r>
    <r>
      <rPr>
        <vertAlign val="subscript"/>
        <sz val="8"/>
        <rFont val="Arial CE"/>
        <charset val="238"/>
      </rPr>
      <t>lv</t>
    </r>
    <r>
      <rPr>
        <sz val="8"/>
        <rFont val="Arial CE"/>
        <family val="2"/>
        <charset val="238"/>
      </rPr>
      <t>=</t>
    </r>
  </si>
  <si>
    <t>Qc=</t>
  </si>
  <si>
    <r>
      <t>1.02,1.03,1.04,1.05 Garáže,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</si>
  <si>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SN2</t>
  </si>
  <si>
    <t>V2</t>
  </si>
  <si>
    <t>D2</t>
  </si>
  <si>
    <r>
      <t>1.06 Sklad,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</si>
  <si>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SN3</t>
  </si>
  <si>
    <r>
      <t>1.07 Nocležna 1.,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</si>
  <si>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SO5</t>
  </si>
  <si>
    <t>O3</t>
  </si>
  <si>
    <t>D3</t>
  </si>
  <si>
    <r>
      <t>1.08 Sprcha ženy, ti=24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</si>
  <si>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1.09 WC ženy,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</si>
  <si>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O5</t>
  </si>
  <si>
    <t>O4</t>
  </si>
  <si>
    <r>
      <t>1.10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</si>
  <si>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1.11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</si>
  <si>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1.12 WC muži,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</si>
  <si>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SN5</t>
  </si>
  <si>
    <r>
      <t>1.13 Sprcha muži, ti=24,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</si>
  <si>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SO4</t>
  </si>
  <si>
    <t>SN6</t>
  </si>
  <si>
    <t>O6</t>
  </si>
  <si>
    <r>
      <t>1.14 Nocležna 2.,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</si>
  <si>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1.15 Společenská místnost,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</si>
  <si>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O7</t>
  </si>
  <si>
    <r>
      <t>1.16 Kuchyňka,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</si>
  <si>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1.17 Chodba 3.,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</si>
  <si>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D4</t>
  </si>
  <si>
    <r>
      <t>1.18 Šatna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</si>
  <si>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1.01</t>
  </si>
  <si>
    <t>Garáž č.1 + Sklad</t>
  </si>
  <si>
    <t>m.č.</t>
  </si>
  <si>
    <t>Název místnosti</t>
  </si>
  <si>
    <t>Celk. tep. ztráta</t>
  </si>
  <si>
    <t>Otopné těleso</t>
  </si>
  <si>
    <t>Počet ks</t>
  </si>
  <si>
    <t>Popis tělesa</t>
  </si>
  <si>
    <t>Tep. interiéru</t>
  </si>
  <si>
    <t>1.02</t>
  </si>
  <si>
    <t>Garáže č. 2, 3, 4, 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</si>
  <si>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</si>
  <si>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</si>
  <si>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</si>
  <si>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</si>
  <si>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</si>
  <si>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</si>
  <si>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</si>
  <si>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</si>
  <si>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</si>
  <si>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</si>
  <si>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</si>
  <si>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</si>
  <si>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</si>
  <si>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Sklad 1.</t>
  </si>
  <si>
    <t>Nocležna 1.</t>
  </si>
  <si>
    <t>Sprcha ženy</t>
  </si>
  <si>
    <t>WC ženy</t>
  </si>
  <si>
    <t>Chodba 1.</t>
  </si>
  <si>
    <t>Chodba 2.</t>
  </si>
  <si>
    <t>WC muži</t>
  </si>
  <si>
    <t>Sprcha muži</t>
  </si>
  <si>
    <t>Nocležna 2.</t>
  </si>
  <si>
    <t>Společenská místnost</t>
  </si>
  <si>
    <t>Kuchyňka</t>
  </si>
  <si>
    <t>Chodba 3.</t>
  </si>
  <si>
    <t>Šatna</t>
  </si>
  <si>
    <t>Strop garáže</t>
  </si>
  <si>
    <t>Strop obytná část</t>
  </si>
  <si>
    <t>Okna</t>
  </si>
  <si>
    <t>Dveře vchodové</t>
  </si>
  <si>
    <t>Vrata</t>
  </si>
  <si>
    <r>
      <t>V</t>
    </r>
    <r>
      <rPr>
        <vertAlign val="subscript"/>
        <sz val="8"/>
        <rFont val="Arial CE"/>
        <family val="2"/>
        <charset val="238"/>
      </rPr>
      <t>v</t>
    </r>
    <r>
      <rPr>
        <sz val="8"/>
        <rFont val="Arial CE"/>
        <charset val="238"/>
      </rPr>
      <t xml:space="preserve"> = {V</t>
    </r>
    <r>
      <rPr>
        <vertAlign val="subscript"/>
        <sz val="8"/>
        <rFont val="Arial CE"/>
        <family val="2"/>
        <charset val="238"/>
      </rPr>
      <t>vh</t>
    </r>
    <r>
      <rPr>
        <sz val="8"/>
        <rFont val="Arial CE"/>
        <charset val="238"/>
      </rPr>
      <t>,V</t>
    </r>
    <r>
      <rPr>
        <vertAlign val="subscript"/>
        <sz val="8"/>
        <rFont val="Arial CE"/>
        <family val="2"/>
        <charset val="238"/>
      </rPr>
      <t>vp</t>
    </r>
    <r>
      <rPr>
        <sz val="8"/>
        <rFont val="Arial CE"/>
        <charset val="238"/>
      </rPr>
      <t>}</t>
    </r>
  </si>
  <si>
    <r>
      <t>Předepsaná intenzita výměny vzduchu 0,5h</t>
    </r>
    <r>
      <rPr>
        <vertAlign val="superscript"/>
        <sz val="8"/>
        <rFont val="Arial CE"/>
        <family val="2"/>
        <charset val="238"/>
      </rPr>
      <t>-1</t>
    </r>
  </si>
  <si>
    <r>
      <t>Výpočtová vnější teplota Havlíčkův Brod: -15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 xml:space="preserve"> C</t>
    </r>
  </si>
  <si>
    <t>Vrata 3x3,3m</t>
  </si>
  <si>
    <t>Vrata 1,5x2,5m</t>
  </si>
  <si>
    <t>Dveře vnitřní 90</t>
  </si>
  <si>
    <t>Dveře vnitřní 80</t>
  </si>
  <si>
    <t>Dveře vnitřní 60</t>
  </si>
  <si>
    <t>Dveře vchodové 80</t>
  </si>
  <si>
    <t>Okno 0,9x0,9</t>
  </si>
  <si>
    <t>Okno 2,0x1,5</t>
  </si>
  <si>
    <t>Okno 1,5x0,9</t>
  </si>
  <si>
    <t>Okno 1,2x0,9</t>
  </si>
  <si>
    <t>Okno 0,6x0,6</t>
  </si>
  <si>
    <t>Okno 1,2x1,5</t>
  </si>
  <si>
    <t>Okno 1,2x1,2</t>
  </si>
  <si>
    <t>Ozn.</t>
  </si>
  <si>
    <t>Název</t>
  </si>
  <si>
    <t>POSTUP VÝPOČTU:</t>
  </si>
  <si>
    <t>1.</t>
  </si>
  <si>
    <t>Celková tepelná ztráta</t>
  </si>
  <si>
    <t>Qc = Qp + Qv - Qz</t>
  </si>
  <si>
    <t>Qc</t>
  </si>
  <si>
    <t>Qp</t>
  </si>
  <si>
    <t>Qz</t>
  </si>
  <si>
    <t>Celková tepelná ztráta budovy</t>
  </si>
  <si>
    <t>W</t>
  </si>
  <si>
    <t>Tepelná ztráta prostupem tepla</t>
  </si>
  <si>
    <t>Tepelná ztráta větráním</t>
  </si>
  <si>
    <t>Trvalý tepelný zisk</t>
  </si>
  <si>
    <t>2.</t>
  </si>
  <si>
    <t>Q0</t>
  </si>
  <si>
    <t>p1</t>
  </si>
  <si>
    <t>p2</t>
  </si>
  <si>
    <t>p3</t>
  </si>
  <si>
    <t>Zákl. tep. ztráta prostupem tepla</t>
  </si>
  <si>
    <t>připrážka na vyrovnání vlivu chladných kcí</t>
  </si>
  <si>
    <t>přirážka na urychlení zátopu</t>
  </si>
  <si>
    <t>přirážka na světovou stranu</t>
  </si>
  <si>
    <r>
      <t>Qp = Q</t>
    </r>
    <r>
      <rPr>
        <b/>
        <vertAlign val="subscript"/>
        <sz val="8"/>
        <rFont val="Arial CE"/>
        <charset val="238"/>
      </rPr>
      <t>0</t>
    </r>
    <r>
      <rPr>
        <b/>
        <sz val="8"/>
        <rFont val="Arial CE"/>
        <charset val="238"/>
      </rPr>
      <t xml:space="preserve"> x (1+p1+p2+p3)</t>
    </r>
  </si>
  <si>
    <t>Celk. výkon</t>
  </si>
  <si>
    <t>VK 22 1800x500</t>
  </si>
  <si>
    <t>VK 22 700x500</t>
  </si>
  <si>
    <t>VK 22 800x900</t>
  </si>
  <si>
    <t>VK 33 1600x600</t>
  </si>
  <si>
    <t>VK 22 1000x500</t>
  </si>
  <si>
    <t>VK 22 700x900</t>
  </si>
  <si>
    <t>KRM 1220.600</t>
  </si>
  <si>
    <t>VK 22 900x500</t>
  </si>
  <si>
    <t>VK 22 1100x500</t>
  </si>
  <si>
    <t>VK 22 600x500</t>
  </si>
  <si>
    <t>VK 22 1600x600</t>
  </si>
</sst>
</file>

<file path=xl/styles.xml><?xml version="1.0" encoding="utf-8"?>
<styleSheet xmlns="http://schemas.openxmlformats.org/spreadsheetml/2006/main">
  <numFmts count="1">
    <numFmt numFmtId="164" formatCode="0.000000"/>
  </numFmts>
  <fonts count="13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Calibri"/>
      <family val="2"/>
      <charset val="238"/>
    </font>
    <font>
      <vertAlign val="subscript"/>
      <sz val="8"/>
      <name val="Arial CE"/>
      <charset val="238"/>
    </font>
    <font>
      <sz val="8"/>
      <name val="Arial CE"/>
      <charset val="238"/>
    </font>
    <font>
      <sz val="8"/>
      <name val="Times New Roman"/>
      <family val="1"/>
    </font>
    <font>
      <vertAlign val="subscript"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Calibri"/>
      <family val="2"/>
      <charset val="238"/>
    </font>
    <font>
      <b/>
      <sz val="10"/>
      <name val="Arial CE"/>
      <charset val="238"/>
    </font>
    <font>
      <b/>
      <vertAlign val="sub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33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2" borderId="0" xfId="0" applyNumberFormat="1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2" borderId="50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Border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0" fillId="0" borderId="0" xfId="0" applyAlignment="1">
      <alignment shrinkToFit="1"/>
    </xf>
    <xf numFmtId="0" fontId="6" fillId="0" borderId="5" xfId="0" applyFont="1" applyBorder="1" applyAlignment="1">
      <alignment horizontal="center" shrinkToFit="1"/>
    </xf>
    <xf numFmtId="0" fontId="6" fillId="0" borderId="5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48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14" fontId="6" fillId="0" borderId="0" xfId="0" applyNumberFormat="1" applyFont="1" applyBorder="1" applyAlignment="1">
      <alignment horizontal="right" wrapText="1"/>
    </xf>
    <xf numFmtId="0" fontId="6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6"/>
  <sheetViews>
    <sheetView tabSelected="1" workbookViewId="0">
      <pane ySplit="7" topLeftCell="A248" activePane="bottomLeft" state="frozen"/>
      <selection pane="bottomLeft" activeCell="S25" sqref="S25"/>
    </sheetView>
  </sheetViews>
  <sheetFormatPr defaultRowHeight="12.75"/>
  <cols>
    <col min="1" max="3" width="5" customWidth="1"/>
    <col min="4" max="4" width="8.140625" customWidth="1"/>
    <col min="5" max="9" width="5.28515625" customWidth="1"/>
    <col min="10" max="12" width="4.85546875" customWidth="1"/>
    <col min="13" max="13" width="5" customWidth="1"/>
    <col min="14" max="14" width="3.5703125" customWidth="1"/>
    <col min="15" max="15" width="4.7109375" customWidth="1"/>
    <col min="16" max="16" width="3.5703125" customWidth="1"/>
    <col min="17" max="17" width="6" customWidth="1"/>
  </cols>
  <sheetData>
    <row r="1" spans="1:17">
      <c r="A1" s="4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9</v>
      </c>
      <c r="J1" s="5">
        <v>10</v>
      </c>
      <c r="K1" s="5">
        <v>11</v>
      </c>
      <c r="L1" s="5">
        <v>12</v>
      </c>
      <c r="M1" s="5">
        <v>13</v>
      </c>
      <c r="N1" s="5">
        <v>14</v>
      </c>
      <c r="O1" s="5">
        <v>15</v>
      </c>
      <c r="P1" s="5">
        <v>16</v>
      </c>
      <c r="Q1" s="6">
        <v>19</v>
      </c>
    </row>
    <row r="2" spans="1:17" s="65" customFormat="1" ht="27" customHeight="1">
      <c r="A2" s="157" t="s">
        <v>3</v>
      </c>
      <c r="B2" s="162" t="s">
        <v>4</v>
      </c>
      <c r="C2" s="158" t="s">
        <v>0</v>
      </c>
      <c r="D2" s="158"/>
      <c r="E2" s="158"/>
      <c r="F2" s="163"/>
      <c r="G2" s="162" t="s">
        <v>1</v>
      </c>
      <c r="H2" s="158"/>
      <c r="I2" s="158"/>
      <c r="J2" s="158"/>
      <c r="K2" s="158"/>
      <c r="L2" s="163"/>
      <c r="M2" s="161" t="s">
        <v>2</v>
      </c>
      <c r="N2" s="158"/>
      <c r="O2" s="158"/>
      <c r="P2" s="158"/>
      <c r="Q2" s="160" t="s">
        <v>78</v>
      </c>
    </row>
    <row r="3" spans="1:17">
      <c r="A3" s="157"/>
      <c r="B3" s="162"/>
      <c r="C3" s="158" t="s">
        <v>5</v>
      </c>
      <c r="D3" s="158" t="s">
        <v>6</v>
      </c>
      <c r="E3" s="158" t="s">
        <v>7</v>
      </c>
      <c r="F3" s="163" t="s">
        <v>8</v>
      </c>
      <c r="G3" s="162" t="s">
        <v>80</v>
      </c>
      <c r="H3" s="158" t="s">
        <v>9</v>
      </c>
      <c r="I3" s="158" t="s">
        <v>10</v>
      </c>
      <c r="J3" s="158" t="s">
        <v>11</v>
      </c>
      <c r="K3" s="158" t="s">
        <v>35</v>
      </c>
      <c r="L3" s="163" t="s">
        <v>12</v>
      </c>
      <c r="M3" s="161" t="s">
        <v>13</v>
      </c>
      <c r="N3" s="158" t="s">
        <v>14</v>
      </c>
      <c r="O3" s="158" t="s">
        <v>15</v>
      </c>
      <c r="P3" s="158"/>
      <c r="Q3" s="160"/>
    </row>
    <row r="4" spans="1:17">
      <c r="A4" s="157"/>
      <c r="B4" s="162"/>
      <c r="C4" s="158"/>
      <c r="D4" s="158"/>
      <c r="E4" s="158"/>
      <c r="F4" s="163"/>
      <c r="G4" s="162"/>
      <c r="H4" s="158"/>
      <c r="I4" s="158"/>
      <c r="J4" s="158"/>
      <c r="K4" s="158"/>
      <c r="L4" s="163"/>
      <c r="M4" s="161"/>
      <c r="N4" s="158"/>
      <c r="O4" s="158"/>
      <c r="P4" s="158"/>
      <c r="Q4" s="160"/>
    </row>
    <row r="5" spans="1:17">
      <c r="A5" s="157"/>
      <c r="B5" s="162"/>
      <c r="C5" s="158"/>
      <c r="D5" s="158"/>
      <c r="E5" s="158"/>
      <c r="F5" s="163"/>
      <c r="G5" s="162"/>
      <c r="H5" s="158"/>
      <c r="I5" s="158"/>
      <c r="J5" s="158"/>
      <c r="K5" s="158"/>
      <c r="L5" s="163"/>
      <c r="M5" s="161"/>
      <c r="N5" s="158"/>
      <c r="O5" s="158"/>
      <c r="P5" s="158"/>
      <c r="Q5" s="160"/>
    </row>
    <row r="6" spans="1:17">
      <c r="A6" s="157"/>
      <c r="B6" s="162"/>
      <c r="C6" s="158"/>
      <c r="D6" s="158"/>
      <c r="E6" s="158"/>
      <c r="F6" s="163"/>
      <c r="G6" s="162"/>
      <c r="H6" s="158"/>
      <c r="I6" s="158"/>
      <c r="J6" s="158"/>
      <c r="K6" s="158"/>
      <c r="L6" s="163"/>
      <c r="M6" s="161"/>
      <c r="N6" s="158"/>
      <c r="O6" s="158"/>
      <c r="P6" s="158"/>
      <c r="Q6" s="160"/>
    </row>
    <row r="7" spans="1:17">
      <c r="A7" s="10"/>
      <c r="B7" s="29"/>
      <c r="C7" s="8"/>
      <c r="D7" s="8"/>
      <c r="E7" s="8"/>
      <c r="F7" s="28"/>
      <c r="G7" s="29"/>
      <c r="H7" s="8"/>
      <c r="I7" s="8" t="s">
        <v>33</v>
      </c>
      <c r="J7" s="8" t="s">
        <v>34</v>
      </c>
      <c r="K7" s="8"/>
      <c r="L7" s="28" t="s">
        <v>16</v>
      </c>
      <c r="M7" s="7"/>
      <c r="N7" s="8"/>
      <c r="O7" s="8"/>
      <c r="P7" s="8"/>
      <c r="Q7" s="9"/>
    </row>
    <row r="8" spans="1:17" ht="13.5" thickBot="1">
      <c r="A8" s="11"/>
      <c r="B8" s="30"/>
      <c r="C8" s="13"/>
      <c r="D8" s="13"/>
      <c r="E8" s="13"/>
      <c r="F8" s="31"/>
      <c r="G8" s="30"/>
      <c r="H8" s="13"/>
      <c r="I8" s="13"/>
      <c r="J8" s="13"/>
      <c r="K8" s="13"/>
      <c r="L8" s="31"/>
      <c r="M8" s="12"/>
      <c r="N8" s="13"/>
      <c r="O8" s="13"/>
      <c r="P8" s="13"/>
      <c r="Q8" s="14"/>
    </row>
    <row r="9" spans="1:17" ht="13.5" thickBot="1">
      <c r="A9" s="19"/>
      <c r="B9" s="143" t="s">
        <v>79</v>
      </c>
      <c r="C9" s="144"/>
      <c r="D9" s="144"/>
      <c r="E9" s="144"/>
      <c r="F9" s="145"/>
      <c r="G9" s="37" t="s">
        <v>19</v>
      </c>
      <c r="H9" s="146">
        <f>3.3*7.9*3.5</f>
        <v>91.245000000000005</v>
      </c>
      <c r="I9" s="146"/>
      <c r="J9" s="20" t="s">
        <v>20</v>
      </c>
      <c r="K9" s="20"/>
      <c r="L9" s="38"/>
      <c r="M9" s="20"/>
      <c r="N9" s="20"/>
      <c r="O9" s="20"/>
      <c r="P9" s="20"/>
      <c r="Q9" s="24"/>
    </row>
    <row r="10" spans="1:17">
      <c r="A10" s="16" t="s">
        <v>30</v>
      </c>
      <c r="B10" s="67">
        <v>45</v>
      </c>
      <c r="C10" s="63">
        <v>3.3</v>
      </c>
      <c r="D10" s="63">
        <v>3.5</v>
      </c>
      <c r="E10" s="18">
        <f t="shared" ref="E10:E19" si="0">C10*D10</f>
        <v>11.549999999999999</v>
      </c>
      <c r="F10" s="70">
        <v>2</v>
      </c>
      <c r="G10" s="67">
        <f>0.9*0.9</f>
        <v>0.81</v>
      </c>
      <c r="H10" s="18">
        <f>(E10-(F10*G10))</f>
        <v>9.93</v>
      </c>
      <c r="I10" s="63">
        <v>1.304</v>
      </c>
      <c r="J10" s="63">
        <v>20</v>
      </c>
      <c r="K10" s="18">
        <f t="shared" ref="K10:K17" si="1">J10*I10</f>
        <v>26.080000000000002</v>
      </c>
      <c r="L10" s="32">
        <f t="shared" ref="L10:L17" si="2">H10*I10*J10</f>
        <v>258.9744</v>
      </c>
      <c r="M10" s="17" t="s">
        <v>22</v>
      </c>
      <c r="N10" s="147">
        <f>E20</f>
        <v>149.86000000000001</v>
      </c>
      <c r="O10" s="147"/>
      <c r="P10" s="147"/>
      <c r="Q10" s="148"/>
    </row>
    <row r="11" spans="1:17">
      <c r="A11" s="10" t="s">
        <v>31</v>
      </c>
      <c r="B11" s="68">
        <v>45</v>
      </c>
      <c r="C11" s="64">
        <v>7.9</v>
      </c>
      <c r="D11" s="64">
        <v>3.5</v>
      </c>
      <c r="E11" s="8">
        <f t="shared" si="0"/>
        <v>27.650000000000002</v>
      </c>
      <c r="F11" s="71">
        <v>2</v>
      </c>
      <c r="G11" s="68">
        <f>2*1.5</f>
        <v>3</v>
      </c>
      <c r="H11" s="8">
        <f t="shared" ref="H11:H19" si="3">(E11-(F11*G11))</f>
        <v>21.650000000000002</v>
      </c>
      <c r="I11" s="64">
        <v>1.304</v>
      </c>
      <c r="J11" s="64">
        <v>20</v>
      </c>
      <c r="K11" s="8">
        <f t="shared" si="1"/>
        <v>26.080000000000002</v>
      </c>
      <c r="L11" s="28">
        <f t="shared" si="2"/>
        <v>564.63200000000006</v>
      </c>
      <c r="M11" s="7" t="s">
        <v>23</v>
      </c>
      <c r="N11" s="150">
        <f>K21/(N10*(N12-N13))</f>
        <v>1.0833560990257574</v>
      </c>
      <c r="O11" s="150"/>
      <c r="P11" s="150"/>
      <c r="Q11" s="149"/>
    </row>
    <row r="12" spans="1:17">
      <c r="A12" s="10" t="s">
        <v>73</v>
      </c>
      <c r="B12" s="68">
        <v>45</v>
      </c>
      <c r="C12" s="64">
        <v>3.3</v>
      </c>
      <c r="D12" s="64">
        <v>3.5</v>
      </c>
      <c r="E12" s="8">
        <f>C12*D12</f>
        <v>11.549999999999999</v>
      </c>
      <c r="F12" s="71">
        <v>1</v>
      </c>
      <c r="G12" s="68">
        <f>3*3.3</f>
        <v>9.8999999999999986</v>
      </c>
      <c r="H12" s="8">
        <f>(E12-(F12*G12))</f>
        <v>1.6500000000000004</v>
      </c>
      <c r="I12" s="64">
        <v>1.304</v>
      </c>
      <c r="J12" s="64">
        <v>20</v>
      </c>
      <c r="K12" s="8">
        <f>J12*I12</f>
        <v>26.080000000000002</v>
      </c>
      <c r="L12" s="47">
        <f>H12*I12*J12</f>
        <v>43.032000000000011</v>
      </c>
      <c r="M12" s="46" t="s">
        <v>76</v>
      </c>
      <c r="N12" s="151">
        <v>5</v>
      </c>
      <c r="O12" s="151"/>
      <c r="P12" s="151"/>
      <c r="Q12" s="149"/>
    </row>
    <row r="13" spans="1:17">
      <c r="A13" s="10" t="s">
        <v>81</v>
      </c>
      <c r="B13" s="68">
        <v>30</v>
      </c>
      <c r="C13" s="64">
        <v>7.9</v>
      </c>
      <c r="D13" s="64">
        <v>3.5</v>
      </c>
      <c r="E13" s="8">
        <f>C13*D13</f>
        <v>27.650000000000002</v>
      </c>
      <c r="F13" s="71">
        <v>1</v>
      </c>
      <c r="G13" s="68">
        <f>0.9*2</f>
        <v>1.8</v>
      </c>
      <c r="H13" s="8">
        <f>(E13-(F13*G13))</f>
        <v>25.85</v>
      </c>
      <c r="I13" s="64">
        <v>1.7210000000000001</v>
      </c>
      <c r="J13" s="64">
        <v>0</v>
      </c>
      <c r="K13" s="8">
        <f>J13*I13</f>
        <v>0</v>
      </c>
      <c r="L13" s="47">
        <f>H13*I13*J13</f>
        <v>0</v>
      </c>
      <c r="M13" s="46" t="s">
        <v>77</v>
      </c>
      <c r="N13" s="151">
        <v>-15</v>
      </c>
      <c r="O13" s="151"/>
      <c r="P13" s="151"/>
      <c r="Q13" s="149"/>
    </row>
    <row r="14" spans="1:17">
      <c r="A14" s="10" t="s">
        <v>82</v>
      </c>
      <c r="B14" s="68"/>
      <c r="C14" s="64">
        <v>0.9</v>
      </c>
      <c r="D14" s="64">
        <v>0.9</v>
      </c>
      <c r="E14" s="8">
        <f>C14*D14*2</f>
        <v>1.62</v>
      </c>
      <c r="F14" s="71"/>
      <c r="G14" s="68"/>
      <c r="H14" s="8">
        <f t="shared" si="3"/>
        <v>1.62</v>
      </c>
      <c r="I14" s="64">
        <v>4</v>
      </c>
      <c r="J14" s="64">
        <v>20</v>
      </c>
      <c r="K14" s="8">
        <f t="shared" si="1"/>
        <v>80</v>
      </c>
      <c r="L14" s="28">
        <f t="shared" si="2"/>
        <v>129.60000000000002</v>
      </c>
      <c r="M14" s="52"/>
      <c r="N14" s="53"/>
      <c r="O14" s="53"/>
      <c r="P14" s="54"/>
      <c r="Q14" s="149"/>
    </row>
    <row r="15" spans="1:17">
      <c r="A15" s="10" t="s">
        <v>83</v>
      </c>
      <c r="B15" s="68"/>
      <c r="C15" s="64">
        <v>2</v>
      </c>
      <c r="D15" s="64">
        <v>1.5</v>
      </c>
      <c r="E15" s="8">
        <f>C15*D15*2</f>
        <v>6</v>
      </c>
      <c r="F15" s="71"/>
      <c r="G15" s="68"/>
      <c r="H15" s="8">
        <f t="shared" si="3"/>
        <v>6</v>
      </c>
      <c r="I15" s="64">
        <v>4</v>
      </c>
      <c r="J15" s="64">
        <v>20</v>
      </c>
      <c r="K15" s="8">
        <f t="shared" si="1"/>
        <v>80</v>
      </c>
      <c r="L15" s="28">
        <f t="shared" si="2"/>
        <v>480</v>
      </c>
      <c r="M15" s="52"/>
      <c r="N15" s="53"/>
      <c r="O15" s="53"/>
      <c r="P15" s="54"/>
      <c r="Q15" s="149"/>
    </row>
    <row r="16" spans="1:17">
      <c r="A16" s="10" t="s">
        <v>84</v>
      </c>
      <c r="B16" s="68"/>
      <c r="C16" s="64">
        <v>3</v>
      </c>
      <c r="D16" s="64">
        <v>3.3</v>
      </c>
      <c r="E16" s="8">
        <f>C16*D16</f>
        <v>9.8999999999999986</v>
      </c>
      <c r="F16" s="71"/>
      <c r="G16" s="68"/>
      <c r="H16" s="8">
        <f>(E16-(F16*G16))</f>
        <v>9.8999999999999986</v>
      </c>
      <c r="I16" s="64">
        <v>5</v>
      </c>
      <c r="J16" s="64">
        <v>20</v>
      </c>
      <c r="K16" s="8">
        <f>J16*I16</f>
        <v>100</v>
      </c>
      <c r="L16" s="28">
        <f>H16*I16*J16</f>
        <v>989.99999999999989</v>
      </c>
      <c r="M16" s="52"/>
      <c r="N16" s="53"/>
      <c r="O16" s="53"/>
      <c r="P16" s="54"/>
      <c r="Q16" s="149"/>
    </row>
    <row r="17" spans="1:17">
      <c r="A17" s="10" t="s">
        <v>85</v>
      </c>
      <c r="B17" s="68"/>
      <c r="C17" s="64">
        <v>0.9</v>
      </c>
      <c r="D17" s="64">
        <v>2</v>
      </c>
      <c r="E17" s="8">
        <f t="shared" si="0"/>
        <v>1.8</v>
      </c>
      <c r="F17" s="71"/>
      <c r="G17" s="68"/>
      <c r="H17" s="8">
        <f t="shared" si="3"/>
        <v>1.8</v>
      </c>
      <c r="I17" s="64">
        <v>2</v>
      </c>
      <c r="J17" s="64">
        <v>0</v>
      </c>
      <c r="K17" s="8">
        <f t="shared" si="1"/>
        <v>0</v>
      </c>
      <c r="L17" s="28">
        <f t="shared" si="2"/>
        <v>0</v>
      </c>
      <c r="M17" s="52"/>
      <c r="N17" s="53"/>
      <c r="O17" s="53"/>
      <c r="P17" s="54"/>
      <c r="Q17" s="149"/>
    </row>
    <row r="18" spans="1:17">
      <c r="A18" s="86" t="s">
        <v>86</v>
      </c>
      <c r="B18" s="87">
        <v>0.24</v>
      </c>
      <c r="C18" s="88">
        <v>7.9</v>
      </c>
      <c r="D18" s="88">
        <v>3.3</v>
      </c>
      <c r="E18" s="55">
        <f t="shared" si="0"/>
        <v>26.07</v>
      </c>
      <c r="F18" s="89"/>
      <c r="G18" s="87"/>
      <c r="H18" s="55">
        <f t="shared" si="3"/>
        <v>26.07</v>
      </c>
      <c r="I18" s="64">
        <v>1.1759999999999999</v>
      </c>
      <c r="J18" s="64">
        <v>20</v>
      </c>
      <c r="K18" s="55">
        <f t="shared" ref="K18:K19" si="4">J18*I18</f>
        <v>23.52</v>
      </c>
      <c r="L18" s="47">
        <f t="shared" ref="L18:L19" si="5">H18*I18*J18</f>
        <v>613.16639999999995</v>
      </c>
      <c r="M18" s="52"/>
      <c r="N18" s="53"/>
      <c r="O18" s="53"/>
      <c r="P18" s="54"/>
      <c r="Q18" s="149"/>
    </row>
    <row r="19" spans="1:17">
      <c r="A19" s="86" t="s">
        <v>87</v>
      </c>
      <c r="B19" s="87"/>
      <c r="C19" s="88">
        <v>7.9</v>
      </c>
      <c r="D19" s="88">
        <v>3.3</v>
      </c>
      <c r="E19" s="55">
        <f t="shared" si="0"/>
        <v>26.07</v>
      </c>
      <c r="F19" s="89"/>
      <c r="G19" s="87"/>
      <c r="H19" s="55">
        <f t="shared" si="3"/>
        <v>26.07</v>
      </c>
      <c r="I19" s="64">
        <v>1.286</v>
      </c>
      <c r="J19" s="64">
        <v>5</v>
      </c>
      <c r="K19" s="55">
        <f t="shared" si="4"/>
        <v>6.43</v>
      </c>
      <c r="L19" s="47">
        <f t="shared" si="5"/>
        <v>167.63010000000003</v>
      </c>
      <c r="M19" s="52"/>
      <c r="N19" s="53"/>
      <c r="O19" s="53"/>
      <c r="P19" s="54"/>
      <c r="Q19" s="149"/>
    </row>
    <row r="20" spans="1:17" ht="13.5" thickBot="1">
      <c r="A20" s="42"/>
      <c r="B20" s="93"/>
      <c r="C20" s="94"/>
      <c r="D20" s="94"/>
      <c r="E20" s="90">
        <f>SUM(E10:E19)</f>
        <v>149.86000000000001</v>
      </c>
      <c r="F20" s="95"/>
      <c r="G20" s="93"/>
      <c r="H20" s="94"/>
      <c r="I20" s="94"/>
      <c r="J20" s="94"/>
      <c r="K20" s="43"/>
      <c r="L20" s="44"/>
      <c r="M20" s="50"/>
      <c r="N20" s="48"/>
      <c r="O20" s="48"/>
      <c r="P20" s="51"/>
      <c r="Q20" s="149"/>
    </row>
    <row r="21" spans="1:17" ht="14.25" thickTop="1" thickBot="1">
      <c r="A21" s="25"/>
      <c r="B21" s="152" t="s">
        <v>17</v>
      </c>
      <c r="C21" s="147"/>
      <c r="D21" s="147"/>
      <c r="E21" s="147"/>
      <c r="F21" s="153"/>
      <c r="G21" s="72"/>
      <c r="H21" s="73"/>
      <c r="I21" s="74"/>
      <c r="J21" s="18" t="s">
        <v>21</v>
      </c>
      <c r="K21" s="147">
        <f>SUM(L10:L20)</f>
        <v>3247.0349000000001</v>
      </c>
      <c r="L21" s="153"/>
      <c r="M21" s="7">
        <f>0.15*N11</f>
        <v>0.1625034148538636</v>
      </c>
      <c r="N21" s="8">
        <v>0</v>
      </c>
      <c r="O21" s="45">
        <v>0.1</v>
      </c>
      <c r="P21" s="8">
        <f>1+O21+N21+M21</f>
        <v>1.2625034148538636</v>
      </c>
      <c r="Q21" s="9"/>
    </row>
    <row r="22" spans="1:17">
      <c r="A22" s="15"/>
      <c r="B22" s="33"/>
      <c r="C22" s="76" t="s">
        <v>89</v>
      </c>
      <c r="D22" s="22">
        <v>1.9000000000000001E-4</v>
      </c>
      <c r="E22" s="22" t="s">
        <v>27</v>
      </c>
      <c r="F22" s="34">
        <v>16</v>
      </c>
      <c r="G22" s="49" t="s">
        <v>25</v>
      </c>
      <c r="H22" s="137">
        <f>(0.5*H9)/3600</f>
        <v>1.2672916666666667E-2</v>
      </c>
      <c r="I22" s="138"/>
      <c r="J22" s="22"/>
      <c r="K22" s="22"/>
      <c r="L22" s="34"/>
      <c r="M22" s="22"/>
      <c r="N22" s="22"/>
      <c r="O22" s="22"/>
      <c r="P22" s="22" t="s">
        <v>24</v>
      </c>
      <c r="Q22" s="23">
        <f>K21*P21</f>
        <v>4099.3926493996742</v>
      </c>
    </row>
    <row r="23" spans="1:17" ht="13.5" thickBot="1">
      <c r="A23" s="15"/>
      <c r="B23" s="33"/>
      <c r="C23" s="76" t="s">
        <v>88</v>
      </c>
      <c r="D23" s="66">
        <f>(0.9+0.9)*2+(2+1.5)*2+1.5*4+(3+3.3)*2+3.3</f>
        <v>32.5</v>
      </c>
      <c r="E23" s="22" t="s">
        <v>28</v>
      </c>
      <c r="F23" s="34">
        <v>0.7</v>
      </c>
      <c r="G23" s="35" t="s">
        <v>26</v>
      </c>
      <c r="H23" s="139">
        <f>((D22*D23)*F22*F23)</f>
        <v>6.9159999999999999E-2</v>
      </c>
      <c r="I23" s="140"/>
      <c r="J23" s="22"/>
      <c r="K23" s="22"/>
      <c r="L23" s="34"/>
      <c r="M23" s="22"/>
      <c r="N23" s="22"/>
      <c r="O23" s="22"/>
      <c r="P23" s="22" t="s">
        <v>29</v>
      </c>
      <c r="Q23" s="23">
        <f>1300*(H24*(N12-(N13)))</f>
        <v>1798.16</v>
      </c>
    </row>
    <row r="24" spans="1:17" ht="13.5" thickBot="1">
      <c r="A24" s="25"/>
      <c r="B24" s="36"/>
      <c r="C24" s="26"/>
      <c r="D24" s="39"/>
      <c r="E24" s="39"/>
      <c r="F24" s="40"/>
      <c r="G24" s="41" t="s">
        <v>18</v>
      </c>
      <c r="H24" s="141">
        <f>MAX(H22,H23)</f>
        <v>6.9159999999999999E-2</v>
      </c>
      <c r="I24" s="142"/>
      <c r="J24" s="39"/>
      <c r="K24" s="39"/>
      <c r="L24" s="40"/>
      <c r="M24" s="39"/>
      <c r="N24" s="39"/>
      <c r="O24" s="39"/>
      <c r="P24" s="91" t="s">
        <v>90</v>
      </c>
      <c r="Q24" s="100">
        <f>SUM(Q22:Q23)</f>
        <v>5897.552649399674</v>
      </c>
    </row>
    <row r="25" spans="1:17" ht="13.5" thickBot="1">
      <c r="A25" s="21"/>
      <c r="B25" s="2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7"/>
    </row>
    <row r="26" spans="1:17" ht="13.5" thickBot="1">
      <c r="A26" s="19"/>
      <c r="B26" s="143" t="s">
        <v>91</v>
      </c>
      <c r="C26" s="144"/>
      <c r="D26" s="144"/>
      <c r="E26" s="144"/>
      <c r="F26" s="145"/>
      <c r="G26" s="60" t="s">
        <v>19</v>
      </c>
      <c r="H26" s="146">
        <f>7.9*14*3.5</f>
        <v>387.1</v>
      </c>
      <c r="I26" s="146"/>
      <c r="J26" s="59" t="s">
        <v>20</v>
      </c>
      <c r="K26" s="59"/>
      <c r="L26" s="61"/>
      <c r="M26" s="59"/>
      <c r="N26" s="59"/>
      <c r="O26" s="59"/>
      <c r="P26" s="59"/>
      <c r="Q26" s="24"/>
    </row>
    <row r="27" spans="1:17">
      <c r="A27" s="16" t="s">
        <v>30</v>
      </c>
      <c r="B27" s="67">
        <v>45</v>
      </c>
      <c r="C27" s="69">
        <v>14</v>
      </c>
      <c r="D27" s="69">
        <v>3.5</v>
      </c>
      <c r="E27" s="57">
        <f t="shared" ref="E27:E28" si="6">C27*D27</f>
        <v>49</v>
      </c>
      <c r="F27" s="70">
        <v>8</v>
      </c>
      <c r="G27" s="67">
        <f>0.9*0.9</f>
        <v>0.81</v>
      </c>
      <c r="H27" s="57">
        <f>(E27-(F27*G27))</f>
        <v>42.519999999999996</v>
      </c>
      <c r="I27" s="69">
        <v>1.304</v>
      </c>
      <c r="J27" s="69">
        <v>20</v>
      </c>
      <c r="K27" s="57">
        <f t="shared" ref="K27:K28" si="7">J27*I27</f>
        <v>26.080000000000002</v>
      </c>
      <c r="L27" s="58">
        <f t="shared" ref="L27:L28" si="8">H27*I27*J27</f>
        <v>1108.9215999999999</v>
      </c>
      <c r="M27" s="17" t="s">
        <v>22</v>
      </c>
      <c r="N27" s="147">
        <f>E38</f>
        <v>418.64000000000004</v>
      </c>
      <c r="O27" s="147"/>
      <c r="P27" s="147"/>
      <c r="Q27" s="148"/>
    </row>
    <row r="28" spans="1:17">
      <c r="A28" s="10" t="s">
        <v>92</v>
      </c>
      <c r="B28" s="68">
        <v>30</v>
      </c>
      <c r="C28" s="64">
        <v>7.9</v>
      </c>
      <c r="D28" s="64">
        <v>3.5</v>
      </c>
      <c r="E28" s="55">
        <f t="shared" si="6"/>
        <v>27.650000000000002</v>
      </c>
      <c r="F28" s="71">
        <v>1</v>
      </c>
      <c r="G28" s="68">
        <f>0.9*2</f>
        <v>1.8</v>
      </c>
      <c r="H28" s="55">
        <f t="shared" ref="H28" si="9">(E28-(F28*G28))</f>
        <v>25.85</v>
      </c>
      <c r="I28" s="64">
        <v>1.7210000000000001</v>
      </c>
      <c r="J28" s="64">
        <v>0</v>
      </c>
      <c r="K28" s="55">
        <f t="shared" si="7"/>
        <v>0</v>
      </c>
      <c r="L28" s="47">
        <f t="shared" si="8"/>
        <v>0</v>
      </c>
      <c r="M28" s="46" t="s">
        <v>23</v>
      </c>
      <c r="N28" s="150">
        <f>K39/(N27*(N29-N30))</f>
        <v>0.9556891422224344</v>
      </c>
      <c r="O28" s="150"/>
      <c r="P28" s="150"/>
      <c r="Q28" s="149"/>
    </row>
    <row r="29" spans="1:17">
      <c r="A29" s="10" t="s">
        <v>73</v>
      </c>
      <c r="B29" s="68">
        <v>45</v>
      </c>
      <c r="C29" s="64">
        <v>14</v>
      </c>
      <c r="D29" s="64">
        <v>3.5</v>
      </c>
      <c r="E29" s="55">
        <f>C29*D29</f>
        <v>49</v>
      </c>
      <c r="F29" s="71">
        <v>1</v>
      </c>
      <c r="G29" s="68">
        <f>0.9*0.9+1.5*2.5+3*3*3.35</f>
        <v>34.71</v>
      </c>
      <c r="H29" s="55">
        <f>(E29-(F29*G29))</f>
        <v>14.29</v>
      </c>
      <c r="I29" s="64">
        <v>1.304</v>
      </c>
      <c r="J29" s="64">
        <v>20</v>
      </c>
      <c r="K29" s="55">
        <f>J29*I29</f>
        <v>26.080000000000002</v>
      </c>
      <c r="L29" s="47">
        <f>H29*I29*J29</f>
        <v>372.68319999999994</v>
      </c>
      <c r="M29" s="46" t="s">
        <v>76</v>
      </c>
      <c r="N29" s="151">
        <v>5</v>
      </c>
      <c r="O29" s="151"/>
      <c r="P29" s="151"/>
      <c r="Q29" s="149"/>
    </row>
    <row r="30" spans="1:17">
      <c r="A30" s="10" t="s">
        <v>81</v>
      </c>
      <c r="B30" s="68">
        <v>30</v>
      </c>
      <c r="C30" s="64">
        <v>7.9</v>
      </c>
      <c r="D30" s="64">
        <v>3.5</v>
      </c>
      <c r="E30" s="55">
        <f>C30*D30</f>
        <v>27.650000000000002</v>
      </c>
      <c r="F30" s="71">
        <v>1</v>
      </c>
      <c r="G30" s="68">
        <f>0.8*2</f>
        <v>1.6</v>
      </c>
      <c r="H30" s="55">
        <f>(E30-(F30*G30))</f>
        <v>26.05</v>
      </c>
      <c r="I30" s="64">
        <v>1.7210000000000001</v>
      </c>
      <c r="J30" s="64">
        <v>-15</v>
      </c>
      <c r="K30" s="55">
        <f>J30*I30</f>
        <v>-25.815000000000001</v>
      </c>
      <c r="L30" s="47">
        <f>H30*I30*J30</f>
        <v>-672.48075000000006</v>
      </c>
      <c r="M30" s="46" t="s">
        <v>77</v>
      </c>
      <c r="N30" s="151">
        <v>-15</v>
      </c>
      <c r="O30" s="151"/>
      <c r="P30" s="151"/>
      <c r="Q30" s="149"/>
    </row>
    <row r="31" spans="1:17">
      <c r="A31" s="10" t="s">
        <v>82</v>
      </c>
      <c r="B31" s="68"/>
      <c r="C31" s="64">
        <v>0.9</v>
      </c>
      <c r="D31" s="64">
        <v>0.9</v>
      </c>
      <c r="E31" s="55">
        <f>C31*D31*9</f>
        <v>7.2900000000000009</v>
      </c>
      <c r="F31" s="71"/>
      <c r="G31" s="68"/>
      <c r="H31" s="55">
        <f t="shared" ref="H31:H32" si="10">(E31-(F31*G31))</f>
        <v>7.2900000000000009</v>
      </c>
      <c r="I31" s="64">
        <v>4</v>
      </c>
      <c r="J31" s="64">
        <v>20</v>
      </c>
      <c r="K31" s="55">
        <f t="shared" ref="K31:K32" si="11">J31*I31</f>
        <v>80</v>
      </c>
      <c r="L31" s="47">
        <f t="shared" ref="L31:L32" si="12">H31*I31*J31</f>
        <v>583.20000000000005</v>
      </c>
      <c r="M31" s="52"/>
      <c r="N31" s="53"/>
      <c r="O31" s="53"/>
      <c r="P31" s="54"/>
      <c r="Q31" s="149"/>
    </row>
    <row r="32" spans="1:17">
      <c r="A32" s="10" t="s">
        <v>84</v>
      </c>
      <c r="B32" s="68"/>
      <c r="C32" s="64">
        <v>3</v>
      </c>
      <c r="D32" s="64">
        <v>3.3</v>
      </c>
      <c r="E32" s="55">
        <f>C32*D32*3</f>
        <v>29.699999999999996</v>
      </c>
      <c r="F32" s="71"/>
      <c r="G32" s="68"/>
      <c r="H32" s="55">
        <f t="shared" si="10"/>
        <v>29.699999999999996</v>
      </c>
      <c r="I32" s="64">
        <v>5</v>
      </c>
      <c r="J32" s="64">
        <v>20</v>
      </c>
      <c r="K32" s="55">
        <f t="shared" si="11"/>
        <v>100</v>
      </c>
      <c r="L32" s="47">
        <f t="shared" si="12"/>
        <v>2969.9999999999995</v>
      </c>
      <c r="M32" s="52"/>
      <c r="N32" s="53"/>
      <c r="O32" s="53"/>
      <c r="P32" s="54"/>
      <c r="Q32" s="149"/>
    </row>
    <row r="33" spans="1:17">
      <c r="A33" s="10" t="s">
        <v>93</v>
      </c>
      <c r="B33" s="68"/>
      <c r="C33" s="64">
        <v>1.5</v>
      </c>
      <c r="D33" s="64">
        <v>2.5</v>
      </c>
      <c r="E33" s="55">
        <f>C33*D33</f>
        <v>3.75</v>
      </c>
      <c r="F33" s="71"/>
      <c r="G33" s="68"/>
      <c r="H33" s="55">
        <f>(E33-(F33*G33))</f>
        <v>3.75</v>
      </c>
      <c r="I33" s="64">
        <v>5</v>
      </c>
      <c r="J33" s="64">
        <v>20</v>
      </c>
      <c r="K33" s="55">
        <f>J33*I33</f>
        <v>100</v>
      </c>
      <c r="L33" s="47">
        <f>H33*I33*J33</f>
        <v>375</v>
      </c>
      <c r="M33" s="52"/>
      <c r="N33" s="53"/>
      <c r="O33" s="53"/>
      <c r="P33" s="54"/>
      <c r="Q33" s="149"/>
    </row>
    <row r="34" spans="1:17">
      <c r="A34" s="10" t="s">
        <v>85</v>
      </c>
      <c r="B34" s="68"/>
      <c r="C34" s="64">
        <v>0.9</v>
      </c>
      <c r="D34" s="64">
        <v>2</v>
      </c>
      <c r="E34" s="55">
        <f t="shared" ref="E34:E37" si="13">C34*D34</f>
        <v>1.8</v>
      </c>
      <c r="F34" s="71"/>
      <c r="G34" s="68"/>
      <c r="H34" s="55">
        <f t="shared" ref="H34:H37" si="14">(E34-(F34*G34))</f>
        <v>1.8</v>
      </c>
      <c r="I34" s="64">
        <v>2</v>
      </c>
      <c r="J34" s="64">
        <v>0</v>
      </c>
      <c r="K34" s="55">
        <f t="shared" ref="K34:K37" si="15">J34*I34</f>
        <v>0</v>
      </c>
      <c r="L34" s="47">
        <f t="shared" ref="L34:L37" si="16">H34*I34*J34</f>
        <v>0</v>
      </c>
      <c r="M34" s="52"/>
      <c r="N34" s="53"/>
      <c r="O34" s="53"/>
      <c r="P34" s="54"/>
      <c r="Q34" s="149"/>
    </row>
    <row r="35" spans="1:17">
      <c r="A35" s="86" t="s">
        <v>94</v>
      </c>
      <c r="B35" s="87"/>
      <c r="C35" s="88">
        <v>0.8</v>
      </c>
      <c r="D35" s="88">
        <v>2</v>
      </c>
      <c r="E35" s="55">
        <f t="shared" ref="E35" si="17">C35*D35</f>
        <v>1.6</v>
      </c>
      <c r="F35" s="71"/>
      <c r="G35" s="68"/>
      <c r="H35" s="55">
        <f t="shared" ref="H35" si="18">(E35-(F35*G35))</f>
        <v>1.6</v>
      </c>
      <c r="I35" s="64">
        <v>2</v>
      </c>
      <c r="J35" s="64">
        <v>-15</v>
      </c>
      <c r="K35" s="55">
        <f t="shared" ref="K35" si="19">J35*I35</f>
        <v>-30</v>
      </c>
      <c r="L35" s="47">
        <f t="shared" ref="L35" si="20">H35*I35*J35</f>
        <v>-48</v>
      </c>
      <c r="M35" s="52"/>
      <c r="N35" s="53"/>
      <c r="O35" s="53"/>
      <c r="P35" s="54"/>
      <c r="Q35" s="149"/>
    </row>
    <row r="36" spans="1:17">
      <c r="A36" s="86" t="s">
        <v>86</v>
      </c>
      <c r="B36" s="87">
        <v>0.24</v>
      </c>
      <c r="C36" s="88">
        <v>7.9</v>
      </c>
      <c r="D36" s="88">
        <v>14</v>
      </c>
      <c r="E36" s="55">
        <f t="shared" si="13"/>
        <v>110.60000000000001</v>
      </c>
      <c r="F36" s="89"/>
      <c r="G36" s="87"/>
      <c r="H36" s="55">
        <f t="shared" si="14"/>
        <v>110.60000000000001</v>
      </c>
      <c r="I36" s="64">
        <v>1.1759999999999999</v>
      </c>
      <c r="J36" s="64">
        <v>20</v>
      </c>
      <c r="K36" s="55">
        <f t="shared" si="15"/>
        <v>23.52</v>
      </c>
      <c r="L36" s="47">
        <f t="shared" si="16"/>
        <v>2601.3119999999999</v>
      </c>
      <c r="M36" s="52"/>
      <c r="N36" s="53"/>
      <c r="O36" s="53"/>
      <c r="P36" s="54"/>
      <c r="Q36" s="149"/>
    </row>
    <row r="37" spans="1:17">
      <c r="A37" s="86" t="s">
        <v>87</v>
      </c>
      <c r="B37" s="87"/>
      <c r="C37" s="88">
        <v>7.9</v>
      </c>
      <c r="D37" s="88">
        <v>14</v>
      </c>
      <c r="E37" s="55">
        <f t="shared" si="13"/>
        <v>110.60000000000001</v>
      </c>
      <c r="F37" s="89"/>
      <c r="G37" s="87"/>
      <c r="H37" s="55">
        <f t="shared" si="14"/>
        <v>110.60000000000001</v>
      </c>
      <c r="I37" s="64">
        <v>1.286</v>
      </c>
      <c r="J37" s="64">
        <v>5</v>
      </c>
      <c r="K37" s="55">
        <f t="shared" si="15"/>
        <v>6.43</v>
      </c>
      <c r="L37" s="47">
        <f t="shared" si="16"/>
        <v>711.15800000000013</v>
      </c>
      <c r="M37" s="52"/>
      <c r="N37" s="53"/>
      <c r="O37" s="53"/>
      <c r="P37" s="54"/>
      <c r="Q37" s="149"/>
    </row>
    <row r="38" spans="1:17" ht="13.5" thickBot="1">
      <c r="A38" s="42"/>
      <c r="B38" s="93"/>
      <c r="C38" s="94"/>
      <c r="D38" s="94"/>
      <c r="E38" s="90">
        <f>SUM(E27:E37)</f>
        <v>418.64000000000004</v>
      </c>
      <c r="F38" s="95"/>
      <c r="G38" s="93"/>
      <c r="H38" s="94"/>
      <c r="I38" s="94"/>
      <c r="J38" s="94"/>
      <c r="K38" s="94"/>
      <c r="L38" s="44"/>
      <c r="M38" s="50"/>
      <c r="N38" s="56"/>
      <c r="O38" s="56"/>
      <c r="P38" s="51"/>
      <c r="Q38" s="149"/>
    </row>
    <row r="39" spans="1:17" ht="14.25" thickTop="1" thickBot="1">
      <c r="A39" s="25"/>
      <c r="B39" s="152" t="s">
        <v>17</v>
      </c>
      <c r="C39" s="147"/>
      <c r="D39" s="147"/>
      <c r="E39" s="147"/>
      <c r="F39" s="153"/>
      <c r="G39" s="72"/>
      <c r="H39" s="73"/>
      <c r="I39" s="74"/>
      <c r="J39" s="57" t="s">
        <v>21</v>
      </c>
      <c r="K39" s="147">
        <f>SUM(L27:L38)</f>
        <v>8001.7940499999995</v>
      </c>
      <c r="L39" s="153"/>
      <c r="M39" s="46">
        <f>0.15*N28</f>
        <v>0.14335337133336515</v>
      </c>
      <c r="N39" s="55">
        <v>0</v>
      </c>
      <c r="O39" s="45">
        <v>0</v>
      </c>
      <c r="P39" s="55">
        <f>1+O39+N39+M39</f>
        <v>1.1433533713333652</v>
      </c>
      <c r="Q39" s="62"/>
    </row>
    <row r="40" spans="1:17">
      <c r="A40" s="15"/>
      <c r="B40" s="33"/>
      <c r="C40" s="76" t="s">
        <v>89</v>
      </c>
      <c r="D40" s="22">
        <v>1.9000000000000001E-4</v>
      </c>
      <c r="E40" s="22" t="s">
        <v>27</v>
      </c>
      <c r="F40" s="34">
        <v>16</v>
      </c>
      <c r="G40" s="49" t="s">
        <v>25</v>
      </c>
      <c r="H40" s="137">
        <f>(0.5*H26)/3600</f>
        <v>5.3763888888888889E-2</v>
      </c>
      <c r="I40" s="138"/>
      <c r="J40" s="22"/>
      <c r="K40" s="22"/>
      <c r="L40" s="34"/>
      <c r="M40" s="22"/>
      <c r="N40" s="22"/>
      <c r="O40" s="22"/>
      <c r="P40" s="22" t="s">
        <v>24</v>
      </c>
      <c r="Q40" s="23">
        <f>K39*P39</f>
        <v>9148.8782037827623</v>
      </c>
    </row>
    <row r="41" spans="1:17" ht="13.5" thickBot="1">
      <c r="A41" s="15"/>
      <c r="B41" s="33"/>
      <c r="C41" s="76" t="s">
        <v>88</v>
      </c>
      <c r="D41" s="66">
        <f>(0.9+0.9)*9+(1.5+2.5)*2+2.5+((3+3.5)*2+3.5)*3</f>
        <v>76.2</v>
      </c>
      <c r="E41" s="22" t="s">
        <v>28</v>
      </c>
      <c r="F41" s="34">
        <v>0.7</v>
      </c>
      <c r="G41" s="35" t="s">
        <v>26</v>
      </c>
      <c r="H41" s="139">
        <f>((D40*D41)*F40*F41)</f>
        <v>0.16215360000000001</v>
      </c>
      <c r="I41" s="140"/>
      <c r="J41" s="22"/>
      <c r="K41" s="22"/>
      <c r="L41" s="34"/>
      <c r="M41" s="22"/>
      <c r="N41" s="22"/>
      <c r="O41" s="22"/>
      <c r="P41" s="22" t="s">
        <v>29</v>
      </c>
      <c r="Q41" s="23">
        <f>1300*(H42*(N29-(N30)))</f>
        <v>4215.9935999999998</v>
      </c>
    </row>
    <row r="42" spans="1:17" ht="13.5" thickBot="1">
      <c r="A42" s="25"/>
      <c r="B42" s="36"/>
      <c r="C42" s="26"/>
      <c r="D42" s="75"/>
      <c r="E42" s="75"/>
      <c r="F42" s="40"/>
      <c r="G42" s="41" t="s">
        <v>18</v>
      </c>
      <c r="H42" s="141">
        <f>MAX(H40,H41)</f>
        <v>0.16215360000000001</v>
      </c>
      <c r="I42" s="142"/>
      <c r="J42" s="75"/>
      <c r="K42" s="75"/>
      <c r="L42" s="40"/>
      <c r="M42" s="75"/>
      <c r="N42" s="75"/>
      <c r="O42" s="75"/>
      <c r="P42" s="91" t="s">
        <v>90</v>
      </c>
      <c r="Q42" s="92">
        <f>SUM(Q40:Q41)</f>
        <v>13364.871803782762</v>
      </c>
    </row>
    <row r="43" spans="1:17" ht="13.5" thickBot="1">
      <c r="A43" s="21"/>
      <c r="B43" s="21"/>
      <c r="C43" s="21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7"/>
    </row>
    <row r="44" spans="1:17" ht="13.5" thickBot="1">
      <c r="A44" s="19"/>
      <c r="B44" s="143" t="s">
        <v>95</v>
      </c>
      <c r="C44" s="144"/>
      <c r="D44" s="144"/>
      <c r="E44" s="144"/>
      <c r="F44" s="145"/>
      <c r="G44" s="60" t="s">
        <v>19</v>
      </c>
      <c r="H44" s="146">
        <f>3.2*4.3*3.2</f>
        <v>44.032000000000004</v>
      </c>
      <c r="I44" s="146"/>
      <c r="J44" s="59" t="s">
        <v>20</v>
      </c>
      <c r="K44" s="59"/>
      <c r="L44" s="61"/>
      <c r="M44" s="59"/>
      <c r="N44" s="59"/>
      <c r="O44" s="59"/>
      <c r="P44" s="59"/>
      <c r="Q44" s="24"/>
    </row>
    <row r="45" spans="1:17">
      <c r="A45" s="16" t="s">
        <v>30</v>
      </c>
      <c r="B45" s="67">
        <v>45</v>
      </c>
      <c r="C45" s="69">
        <v>3.2</v>
      </c>
      <c r="D45" s="69">
        <v>3.2</v>
      </c>
      <c r="E45" s="57">
        <f t="shared" ref="E45:E46" si="21">C45*D45</f>
        <v>10.240000000000002</v>
      </c>
      <c r="F45" s="70">
        <v>1</v>
      </c>
      <c r="G45" s="67">
        <f>1.5*0.9</f>
        <v>1.35</v>
      </c>
      <c r="H45" s="57">
        <f>(E45-(F45*G45))</f>
        <v>8.8900000000000023</v>
      </c>
      <c r="I45" s="69">
        <v>1.304</v>
      </c>
      <c r="J45" s="69">
        <v>35</v>
      </c>
      <c r="K45" s="57">
        <f t="shared" ref="K45:K46" si="22">J45*I45</f>
        <v>45.64</v>
      </c>
      <c r="L45" s="58">
        <f t="shared" ref="L45:L46" si="23">H45*I45*J45</f>
        <v>405.73960000000017</v>
      </c>
      <c r="M45" s="17" t="s">
        <v>22</v>
      </c>
      <c r="N45" s="147">
        <f>E53</f>
        <v>92.470000000000013</v>
      </c>
      <c r="O45" s="147"/>
      <c r="P45" s="147"/>
      <c r="Q45" s="148"/>
    </row>
    <row r="46" spans="1:17">
      <c r="A46" s="10" t="s">
        <v>31</v>
      </c>
      <c r="B46" s="68">
        <v>30</v>
      </c>
      <c r="C46" s="64">
        <v>4.3</v>
      </c>
      <c r="D46" s="64">
        <v>3.2</v>
      </c>
      <c r="E46" s="55">
        <f t="shared" si="21"/>
        <v>13.76</v>
      </c>
      <c r="F46" s="71">
        <v>0</v>
      </c>
      <c r="G46" s="68"/>
      <c r="H46" s="55">
        <f t="shared" ref="H46" si="24">(E46-(F46*G46))</f>
        <v>13.76</v>
      </c>
      <c r="I46" s="64">
        <v>1.7210000000000001</v>
      </c>
      <c r="J46" s="64">
        <v>15</v>
      </c>
      <c r="K46" s="55">
        <f t="shared" si="22"/>
        <v>25.815000000000001</v>
      </c>
      <c r="L46" s="47">
        <f t="shared" si="23"/>
        <v>355.21440000000001</v>
      </c>
      <c r="M46" s="46" t="s">
        <v>23</v>
      </c>
      <c r="N46" s="150">
        <f>K54/(N45*(N47-N48))</f>
        <v>0.91942826244805254</v>
      </c>
      <c r="O46" s="150"/>
      <c r="P46" s="150"/>
      <c r="Q46" s="149"/>
    </row>
    <row r="47" spans="1:17">
      <c r="A47" s="10" t="s">
        <v>96</v>
      </c>
      <c r="B47" s="68">
        <v>30</v>
      </c>
      <c r="C47" s="64">
        <v>3.2</v>
      </c>
      <c r="D47" s="64">
        <v>3.2</v>
      </c>
      <c r="E47" s="55">
        <f>C47*D47</f>
        <v>10.240000000000002</v>
      </c>
      <c r="F47" s="71">
        <v>1</v>
      </c>
      <c r="G47" s="68">
        <f>0.9*2</f>
        <v>1.8</v>
      </c>
      <c r="H47" s="55">
        <f>(E47-(F47*G47))</f>
        <v>8.4400000000000013</v>
      </c>
      <c r="I47" s="64">
        <v>1.7210000000000001</v>
      </c>
      <c r="J47" s="64">
        <v>0</v>
      </c>
      <c r="K47" s="55">
        <f>J47*I47</f>
        <v>0</v>
      </c>
      <c r="L47" s="47">
        <f>H47*I47*J47</f>
        <v>0</v>
      </c>
      <c r="M47" s="46" t="s">
        <v>76</v>
      </c>
      <c r="N47" s="151">
        <v>20</v>
      </c>
      <c r="O47" s="151"/>
      <c r="P47" s="151"/>
      <c r="Q47" s="149"/>
    </row>
    <row r="48" spans="1:17">
      <c r="A48" s="10" t="s">
        <v>81</v>
      </c>
      <c r="B48" s="68">
        <v>15</v>
      </c>
      <c r="C48" s="64">
        <v>4.3</v>
      </c>
      <c r="D48" s="64">
        <v>3.2</v>
      </c>
      <c r="E48" s="55">
        <f>C48*D48</f>
        <v>13.76</v>
      </c>
      <c r="F48" s="71">
        <v>0</v>
      </c>
      <c r="G48" s="68"/>
      <c r="H48" s="55">
        <f>(E48-(F48*G48))</f>
        <v>13.76</v>
      </c>
      <c r="I48" s="64">
        <v>2.46</v>
      </c>
      <c r="J48" s="64">
        <v>0</v>
      </c>
      <c r="K48" s="55">
        <f>J48*I48</f>
        <v>0</v>
      </c>
      <c r="L48" s="47">
        <f>H48*I48*J48</f>
        <v>0</v>
      </c>
      <c r="M48" s="46" t="s">
        <v>77</v>
      </c>
      <c r="N48" s="151">
        <v>-15</v>
      </c>
      <c r="O48" s="151"/>
      <c r="P48" s="151"/>
      <c r="Q48" s="149"/>
    </row>
    <row r="49" spans="1:17">
      <c r="A49" s="10" t="s">
        <v>99</v>
      </c>
      <c r="B49" s="68"/>
      <c r="C49" s="64">
        <v>0.9</v>
      </c>
      <c r="D49" s="64">
        <v>1.5</v>
      </c>
      <c r="E49" s="55">
        <f>C49*D49*9</f>
        <v>12.15</v>
      </c>
      <c r="F49" s="71"/>
      <c r="G49" s="68"/>
      <c r="H49" s="55">
        <f t="shared" ref="H49:H50" si="25">(E49-(F49*G49))</f>
        <v>12.15</v>
      </c>
      <c r="I49" s="64">
        <v>4</v>
      </c>
      <c r="J49" s="64">
        <v>35</v>
      </c>
      <c r="K49" s="55">
        <f t="shared" ref="K49:K50" si="26">J49*I49</f>
        <v>140</v>
      </c>
      <c r="L49" s="47">
        <f t="shared" ref="L49:L50" si="27">H49*I49*J49</f>
        <v>1701</v>
      </c>
      <c r="M49" s="52"/>
      <c r="N49" s="53"/>
      <c r="O49" s="53"/>
      <c r="P49" s="54"/>
      <c r="Q49" s="149"/>
    </row>
    <row r="50" spans="1:17">
      <c r="A50" s="10" t="s">
        <v>94</v>
      </c>
      <c r="B50" s="68"/>
      <c r="C50" s="64">
        <v>0.8</v>
      </c>
      <c r="D50" s="64">
        <v>2</v>
      </c>
      <c r="E50" s="55">
        <f>C50*D50*3</f>
        <v>4.8000000000000007</v>
      </c>
      <c r="F50" s="71"/>
      <c r="G50" s="68"/>
      <c r="H50" s="55">
        <f t="shared" si="25"/>
        <v>4.8000000000000007</v>
      </c>
      <c r="I50" s="64">
        <v>2</v>
      </c>
      <c r="J50" s="64">
        <v>0</v>
      </c>
      <c r="K50" s="55">
        <f t="shared" si="26"/>
        <v>0</v>
      </c>
      <c r="L50" s="47">
        <f t="shared" si="27"/>
        <v>0</v>
      </c>
      <c r="M50" s="52"/>
      <c r="N50" s="53"/>
      <c r="O50" s="53"/>
      <c r="P50" s="54"/>
      <c r="Q50" s="149"/>
    </row>
    <row r="51" spans="1:17">
      <c r="A51" s="86" t="s">
        <v>86</v>
      </c>
      <c r="B51" s="87">
        <v>0.24</v>
      </c>
      <c r="C51" s="88">
        <v>3.2</v>
      </c>
      <c r="D51" s="88">
        <v>4.3</v>
      </c>
      <c r="E51" s="55">
        <f t="shared" ref="E51:E52" si="28">C51*D51</f>
        <v>13.76</v>
      </c>
      <c r="F51" s="89"/>
      <c r="G51" s="87"/>
      <c r="H51" s="55">
        <f t="shared" ref="H51:H52" si="29">(E51-(F51*G51))</f>
        <v>13.76</v>
      </c>
      <c r="I51" s="64">
        <v>0.88300000000000001</v>
      </c>
      <c r="J51" s="64">
        <v>35</v>
      </c>
      <c r="K51" s="55">
        <f t="shared" ref="K51:K52" si="30">J51*I51</f>
        <v>30.905000000000001</v>
      </c>
      <c r="L51" s="47">
        <f t="shared" ref="L51:L52" si="31">H51*I51*J51</f>
        <v>425.25279999999998</v>
      </c>
      <c r="M51" s="52"/>
      <c r="N51" s="53"/>
      <c r="O51" s="53"/>
      <c r="P51" s="54"/>
      <c r="Q51" s="149"/>
    </row>
    <row r="52" spans="1:17">
      <c r="A52" s="86" t="s">
        <v>87</v>
      </c>
      <c r="B52" s="87"/>
      <c r="C52" s="88">
        <v>3.2</v>
      </c>
      <c r="D52" s="88">
        <v>4.3</v>
      </c>
      <c r="E52" s="55">
        <f t="shared" si="28"/>
        <v>13.76</v>
      </c>
      <c r="F52" s="89"/>
      <c r="G52" s="87"/>
      <c r="H52" s="55">
        <f t="shared" si="29"/>
        <v>13.76</v>
      </c>
      <c r="I52" s="64">
        <v>1.286</v>
      </c>
      <c r="J52" s="64">
        <v>5</v>
      </c>
      <c r="K52" s="55">
        <f t="shared" si="30"/>
        <v>6.43</v>
      </c>
      <c r="L52" s="47">
        <f t="shared" si="31"/>
        <v>88.476799999999997</v>
      </c>
      <c r="M52" s="52"/>
      <c r="N52" s="53"/>
      <c r="O52" s="53"/>
      <c r="P52" s="54"/>
      <c r="Q52" s="149"/>
    </row>
    <row r="53" spans="1:17" ht="13.5" thickBot="1">
      <c r="A53" s="42"/>
      <c r="B53" s="93"/>
      <c r="C53" s="94"/>
      <c r="D53" s="94"/>
      <c r="E53" s="90">
        <f>SUM(E45:E52)</f>
        <v>92.470000000000013</v>
      </c>
      <c r="F53" s="95"/>
      <c r="G53" s="93"/>
      <c r="H53" s="94"/>
      <c r="I53" s="94"/>
      <c r="J53" s="94"/>
      <c r="K53" s="94"/>
      <c r="L53" s="44"/>
      <c r="M53" s="50"/>
      <c r="N53" s="56"/>
      <c r="O53" s="56"/>
      <c r="P53" s="51"/>
      <c r="Q53" s="149"/>
    </row>
    <row r="54" spans="1:17" ht="14.25" thickTop="1" thickBot="1">
      <c r="A54" s="25"/>
      <c r="B54" s="152" t="s">
        <v>17</v>
      </c>
      <c r="C54" s="147"/>
      <c r="D54" s="147"/>
      <c r="E54" s="147"/>
      <c r="F54" s="153"/>
      <c r="G54" s="72"/>
      <c r="H54" s="73"/>
      <c r="I54" s="74"/>
      <c r="J54" s="57" t="s">
        <v>21</v>
      </c>
      <c r="K54" s="147">
        <f>SUM(L45:L53)</f>
        <v>2975.6835999999998</v>
      </c>
      <c r="L54" s="153"/>
      <c r="M54" s="46">
        <f>0.15*N46</f>
        <v>0.13791423936720787</v>
      </c>
      <c r="N54" s="55">
        <v>0</v>
      </c>
      <c r="O54" s="45">
        <v>0.05</v>
      </c>
      <c r="P54" s="55">
        <f>1+O54+N54+M54</f>
        <v>1.187914239367208</v>
      </c>
      <c r="Q54" s="62"/>
    </row>
    <row r="55" spans="1:17">
      <c r="A55" s="15"/>
      <c r="B55" s="33"/>
      <c r="C55" s="76" t="s">
        <v>89</v>
      </c>
      <c r="D55" s="22">
        <v>1.9000000000000001E-4</v>
      </c>
      <c r="E55" s="22" t="s">
        <v>27</v>
      </c>
      <c r="F55" s="34">
        <v>16</v>
      </c>
      <c r="G55" s="49" t="s">
        <v>25</v>
      </c>
      <c r="H55" s="137">
        <f>(0.5*H44)/3600</f>
        <v>6.1155555555555564E-3</v>
      </c>
      <c r="I55" s="138"/>
      <c r="J55" s="22"/>
      <c r="K55" s="22"/>
      <c r="L55" s="34"/>
      <c r="M55" s="22"/>
      <c r="N55" s="22"/>
      <c r="O55" s="22"/>
      <c r="P55" s="22" t="s">
        <v>24</v>
      </c>
      <c r="Q55" s="23">
        <f>K54*P54</f>
        <v>3534.856920291475</v>
      </c>
    </row>
    <row r="56" spans="1:17" ht="13.5" thickBot="1">
      <c r="A56" s="15"/>
      <c r="B56" s="33"/>
      <c r="C56" s="76" t="s">
        <v>88</v>
      </c>
      <c r="D56" s="66">
        <f>(1.5*0.9)*2</f>
        <v>2.7</v>
      </c>
      <c r="E56" s="22" t="s">
        <v>28</v>
      </c>
      <c r="F56" s="34">
        <v>0.7</v>
      </c>
      <c r="G56" s="35" t="s">
        <v>26</v>
      </c>
      <c r="H56" s="139">
        <f>((D55*D56)*F55*F56)</f>
        <v>5.7456000000000009E-3</v>
      </c>
      <c r="I56" s="140"/>
      <c r="J56" s="22"/>
      <c r="K56" s="22"/>
      <c r="L56" s="34"/>
      <c r="M56" s="22"/>
      <c r="N56" s="22"/>
      <c r="O56" s="22"/>
      <c r="P56" s="22" t="s">
        <v>29</v>
      </c>
      <c r="Q56" s="23">
        <f>1300*(H57*(N47-(N48)))</f>
        <v>278.25777777777785</v>
      </c>
    </row>
    <row r="57" spans="1:17" ht="13.5" thickBot="1">
      <c r="A57" s="25"/>
      <c r="B57" s="36"/>
      <c r="C57" s="26"/>
      <c r="D57" s="75"/>
      <c r="E57" s="75"/>
      <c r="F57" s="40"/>
      <c r="G57" s="41" t="s">
        <v>18</v>
      </c>
      <c r="H57" s="141">
        <f>MAX(H55,H56)</f>
        <v>6.1155555555555564E-3</v>
      </c>
      <c r="I57" s="142"/>
      <c r="J57" s="75"/>
      <c r="K57" s="75"/>
      <c r="L57" s="40"/>
      <c r="M57" s="75"/>
      <c r="N57" s="75"/>
      <c r="O57" s="75"/>
      <c r="P57" s="91" t="s">
        <v>90</v>
      </c>
      <c r="Q57" s="100">
        <f>SUM(Q55:Q56)</f>
        <v>3813.1146980692529</v>
      </c>
    </row>
    <row r="58" spans="1:17" ht="13.5" thickBot="1">
      <c r="A58" s="21"/>
      <c r="B58" s="21"/>
      <c r="C58" s="21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7"/>
    </row>
    <row r="59" spans="1:17" ht="13.5" thickBot="1">
      <c r="A59" s="19"/>
      <c r="B59" s="143" t="s">
        <v>97</v>
      </c>
      <c r="C59" s="144"/>
      <c r="D59" s="144"/>
      <c r="E59" s="144"/>
      <c r="F59" s="145"/>
      <c r="G59" s="60" t="s">
        <v>19</v>
      </c>
      <c r="H59" s="146">
        <f>(3.2*4.3+1*1.1)*3.2</f>
        <v>47.552</v>
      </c>
      <c r="I59" s="146"/>
      <c r="J59" s="59" t="s">
        <v>20</v>
      </c>
      <c r="K59" s="59"/>
      <c r="L59" s="61"/>
      <c r="M59" s="59"/>
      <c r="N59" s="59"/>
      <c r="O59" s="59"/>
      <c r="P59" s="59"/>
      <c r="Q59" s="24"/>
    </row>
    <row r="60" spans="1:17">
      <c r="A60" s="16" t="s">
        <v>30</v>
      </c>
      <c r="B60" s="67">
        <v>45</v>
      </c>
      <c r="C60" s="69">
        <v>2.2000000000000002</v>
      </c>
      <c r="D60" s="69">
        <v>3.2</v>
      </c>
      <c r="E60" s="57">
        <f t="shared" ref="E60:E61" si="32">C60*D60</f>
        <v>7.0400000000000009</v>
      </c>
      <c r="F60" s="70">
        <v>1</v>
      </c>
      <c r="G60" s="67">
        <f>1.5*0.9</f>
        <v>1.35</v>
      </c>
      <c r="H60" s="57">
        <f>(E60-(F60*G60))</f>
        <v>5.6900000000000013</v>
      </c>
      <c r="I60" s="69">
        <v>1.304</v>
      </c>
      <c r="J60" s="69">
        <v>35</v>
      </c>
      <c r="K60" s="57">
        <f t="shared" ref="K60:K61" si="33">J60*I60</f>
        <v>45.64</v>
      </c>
      <c r="L60" s="58">
        <f t="shared" ref="L60:L61" si="34">H60*I60*J60</f>
        <v>259.69160000000005</v>
      </c>
      <c r="M60" s="17" t="s">
        <v>22</v>
      </c>
      <c r="N60" s="147">
        <f>E70</f>
        <v>81.600000000000009</v>
      </c>
      <c r="O60" s="147"/>
      <c r="P60" s="147"/>
      <c r="Q60" s="148"/>
    </row>
    <row r="61" spans="1:17">
      <c r="A61" s="10" t="s">
        <v>92</v>
      </c>
      <c r="B61" s="68">
        <v>15</v>
      </c>
      <c r="C61" s="64">
        <v>4.3</v>
      </c>
      <c r="D61" s="64">
        <v>3.2</v>
      </c>
      <c r="E61" s="55">
        <f t="shared" si="32"/>
        <v>13.76</v>
      </c>
      <c r="F61" s="71">
        <v>0</v>
      </c>
      <c r="G61" s="68"/>
      <c r="H61" s="55">
        <f t="shared" ref="H61" si="35">(E61-(F61*G61))</f>
        <v>13.76</v>
      </c>
      <c r="I61" s="64">
        <v>2.46</v>
      </c>
      <c r="J61" s="64">
        <v>0</v>
      </c>
      <c r="K61" s="55">
        <f t="shared" si="33"/>
        <v>0</v>
      </c>
      <c r="L61" s="47">
        <f t="shared" si="34"/>
        <v>0</v>
      </c>
      <c r="M61" s="46" t="s">
        <v>23</v>
      </c>
      <c r="N61" s="150">
        <f>K71/(N60*(N62-N63))</f>
        <v>0.30081460084033612</v>
      </c>
      <c r="O61" s="150"/>
      <c r="P61" s="150"/>
      <c r="Q61" s="149"/>
    </row>
    <row r="62" spans="1:17">
      <c r="A62" s="10" t="s">
        <v>96</v>
      </c>
      <c r="B62" s="68">
        <v>30</v>
      </c>
      <c r="C62" s="64">
        <v>3.2</v>
      </c>
      <c r="D62" s="64">
        <v>3.2</v>
      </c>
      <c r="E62" s="55">
        <f t="shared" ref="E62:E67" si="36">C62*D62</f>
        <v>10.240000000000002</v>
      </c>
      <c r="F62" s="71">
        <v>0</v>
      </c>
      <c r="G62" s="68"/>
      <c r="H62" s="55">
        <f>(E62-(F62*G62))</f>
        <v>10.240000000000002</v>
      </c>
      <c r="I62" s="64">
        <v>1.7210000000000001</v>
      </c>
      <c r="J62" s="64">
        <v>0</v>
      </c>
      <c r="K62" s="55">
        <f>J62*I62</f>
        <v>0</v>
      </c>
      <c r="L62" s="47">
        <f>H62*I62*J62</f>
        <v>0</v>
      </c>
      <c r="M62" s="46" t="s">
        <v>76</v>
      </c>
      <c r="N62" s="151">
        <v>20</v>
      </c>
      <c r="O62" s="151"/>
      <c r="P62" s="151"/>
      <c r="Q62" s="149"/>
    </row>
    <row r="63" spans="1:17">
      <c r="A63" s="10" t="s">
        <v>81</v>
      </c>
      <c r="B63" s="68">
        <v>10</v>
      </c>
      <c r="C63" s="64">
        <f>3.2+1</f>
        <v>4.2</v>
      </c>
      <c r="D63" s="64">
        <v>3.2</v>
      </c>
      <c r="E63" s="55">
        <f t="shared" si="36"/>
        <v>13.440000000000001</v>
      </c>
      <c r="F63" s="71">
        <v>1</v>
      </c>
      <c r="G63" s="68">
        <f>0.6*2</f>
        <v>1.2</v>
      </c>
      <c r="H63" s="55">
        <f>(E63-(F63*G63))</f>
        <v>12.240000000000002</v>
      </c>
      <c r="I63" s="64">
        <v>2.87</v>
      </c>
      <c r="J63" s="64">
        <v>-4</v>
      </c>
      <c r="K63" s="55">
        <f>J63*I63</f>
        <v>-11.48</v>
      </c>
      <c r="L63" s="47">
        <f>H63*I63*J63</f>
        <v>-140.51520000000002</v>
      </c>
      <c r="M63" s="46" t="s">
        <v>77</v>
      </c>
      <c r="N63" s="151">
        <v>-15</v>
      </c>
      <c r="O63" s="151"/>
      <c r="P63" s="151"/>
      <c r="Q63" s="149"/>
    </row>
    <row r="64" spans="1:17">
      <c r="A64" s="10" t="s">
        <v>98</v>
      </c>
      <c r="B64" s="68">
        <v>10</v>
      </c>
      <c r="C64" s="64">
        <v>1.1000000000000001</v>
      </c>
      <c r="D64" s="64">
        <v>3.2</v>
      </c>
      <c r="E64" s="55">
        <f t="shared" si="36"/>
        <v>3.5200000000000005</v>
      </c>
      <c r="F64" s="71">
        <v>1</v>
      </c>
      <c r="G64" s="68">
        <f>0.8*2</f>
        <v>1.6</v>
      </c>
      <c r="H64" s="55">
        <f>(E64-(F64*G64))</f>
        <v>1.9200000000000004</v>
      </c>
      <c r="I64" s="64">
        <v>2.87</v>
      </c>
      <c r="J64" s="64">
        <v>5</v>
      </c>
      <c r="K64" s="55">
        <f>J64*I64</f>
        <v>14.350000000000001</v>
      </c>
      <c r="L64" s="47">
        <f>H64*I64*J64</f>
        <v>27.552000000000007</v>
      </c>
      <c r="M64" s="96"/>
      <c r="N64" s="96"/>
      <c r="O64" s="96"/>
      <c r="P64" s="97"/>
      <c r="Q64" s="149"/>
    </row>
    <row r="65" spans="1:17">
      <c r="A65" s="10" t="s">
        <v>104</v>
      </c>
      <c r="B65" s="68"/>
      <c r="C65" s="64">
        <v>0.9</v>
      </c>
      <c r="D65" s="64">
        <v>1.2</v>
      </c>
      <c r="E65" s="55">
        <f t="shared" si="36"/>
        <v>1.08</v>
      </c>
      <c r="F65" s="71"/>
      <c r="G65" s="68"/>
      <c r="H65" s="55">
        <f t="shared" ref="H65:H69" si="37">(E65-(F65*G65))</f>
        <v>1.08</v>
      </c>
      <c r="I65" s="64">
        <v>4</v>
      </c>
      <c r="J65" s="64">
        <v>35</v>
      </c>
      <c r="K65" s="55">
        <f t="shared" ref="K65:K69" si="38">J65*I65</f>
        <v>140</v>
      </c>
      <c r="L65" s="47">
        <f t="shared" ref="L65:L69" si="39">H65*I65*J65</f>
        <v>151.20000000000002</v>
      </c>
      <c r="M65" s="52"/>
      <c r="N65" s="53"/>
      <c r="O65" s="53"/>
      <c r="P65" s="54"/>
      <c r="Q65" s="149"/>
    </row>
    <row r="66" spans="1:17">
      <c r="A66" s="10" t="s">
        <v>94</v>
      </c>
      <c r="B66" s="68"/>
      <c r="C66" s="64">
        <v>0.8</v>
      </c>
      <c r="D66" s="64">
        <v>2</v>
      </c>
      <c r="E66" s="55">
        <f t="shared" si="36"/>
        <v>1.6</v>
      </c>
      <c r="F66" s="71"/>
      <c r="G66" s="68"/>
      <c r="H66" s="55">
        <f t="shared" si="37"/>
        <v>1.6</v>
      </c>
      <c r="I66" s="64">
        <v>2</v>
      </c>
      <c r="J66" s="64">
        <v>5</v>
      </c>
      <c r="K66" s="55">
        <f t="shared" si="38"/>
        <v>10</v>
      </c>
      <c r="L66" s="47">
        <f t="shared" si="39"/>
        <v>16</v>
      </c>
      <c r="M66" s="52"/>
      <c r="N66" s="53"/>
      <c r="O66" s="53"/>
      <c r="P66" s="54"/>
      <c r="Q66" s="149"/>
    </row>
    <row r="67" spans="1:17">
      <c r="A67" s="86" t="s">
        <v>100</v>
      </c>
      <c r="B67" s="87"/>
      <c r="C67" s="88">
        <v>0.6</v>
      </c>
      <c r="D67" s="88">
        <v>2</v>
      </c>
      <c r="E67" s="55">
        <f t="shared" si="36"/>
        <v>1.2</v>
      </c>
      <c r="F67" s="89"/>
      <c r="G67" s="87"/>
      <c r="H67" s="55">
        <f t="shared" si="37"/>
        <v>1.2</v>
      </c>
      <c r="I67" s="64">
        <v>2</v>
      </c>
      <c r="J67" s="64">
        <v>-4</v>
      </c>
      <c r="K67" s="55">
        <f t="shared" si="38"/>
        <v>-8</v>
      </c>
      <c r="L67" s="47">
        <f t="shared" si="39"/>
        <v>-9.6</v>
      </c>
      <c r="M67" s="52"/>
      <c r="N67" s="53"/>
      <c r="O67" s="53"/>
      <c r="P67" s="54"/>
      <c r="Q67" s="149"/>
    </row>
    <row r="68" spans="1:17">
      <c r="A68" s="86" t="s">
        <v>86</v>
      </c>
      <c r="B68" s="87">
        <v>0.24</v>
      </c>
      <c r="C68" s="88">
        <v>3.2</v>
      </c>
      <c r="D68" s="88">
        <v>4.3</v>
      </c>
      <c r="E68" s="55">
        <f>(C68*D68)+1*1.1</f>
        <v>14.86</v>
      </c>
      <c r="F68" s="89"/>
      <c r="G68" s="87"/>
      <c r="H68" s="55">
        <f t="shared" si="37"/>
        <v>14.86</v>
      </c>
      <c r="I68" s="64">
        <v>0.88300000000000001</v>
      </c>
      <c r="J68" s="64">
        <v>35</v>
      </c>
      <c r="K68" s="55">
        <f t="shared" si="38"/>
        <v>30.905000000000001</v>
      </c>
      <c r="L68" s="47">
        <f t="shared" si="39"/>
        <v>459.24830000000003</v>
      </c>
      <c r="M68" s="52"/>
      <c r="N68" s="53"/>
      <c r="O68" s="53"/>
      <c r="P68" s="54"/>
      <c r="Q68" s="149"/>
    </row>
    <row r="69" spans="1:17">
      <c r="A69" s="86" t="s">
        <v>87</v>
      </c>
      <c r="B69" s="87"/>
      <c r="C69" s="88">
        <v>3.2</v>
      </c>
      <c r="D69" s="88">
        <v>4.3</v>
      </c>
      <c r="E69" s="55">
        <f>(C69*D69)+1*1.1</f>
        <v>14.86</v>
      </c>
      <c r="F69" s="89"/>
      <c r="G69" s="87"/>
      <c r="H69" s="55">
        <f t="shared" si="37"/>
        <v>14.86</v>
      </c>
      <c r="I69" s="64">
        <v>1.286</v>
      </c>
      <c r="J69" s="64">
        <v>5</v>
      </c>
      <c r="K69" s="55">
        <f t="shared" si="38"/>
        <v>6.43</v>
      </c>
      <c r="L69" s="47">
        <f t="shared" si="39"/>
        <v>95.549800000000005</v>
      </c>
      <c r="M69" s="52"/>
      <c r="N69" s="53"/>
      <c r="O69" s="53"/>
      <c r="P69" s="54"/>
      <c r="Q69" s="149"/>
    </row>
    <row r="70" spans="1:17" ht="13.5" thickBot="1">
      <c r="A70" s="42"/>
      <c r="B70" s="93"/>
      <c r="C70" s="94"/>
      <c r="D70" s="94"/>
      <c r="E70" s="90">
        <f>SUM(E60:E69)</f>
        <v>81.600000000000009</v>
      </c>
      <c r="F70" s="95"/>
      <c r="G70" s="93"/>
      <c r="H70" s="94"/>
      <c r="I70" s="94"/>
      <c r="J70" s="94"/>
      <c r="K70" s="94"/>
      <c r="L70" s="44"/>
      <c r="M70" s="50"/>
      <c r="N70" s="56"/>
      <c r="O70" s="56"/>
      <c r="P70" s="51"/>
      <c r="Q70" s="149"/>
    </row>
    <row r="71" spans="1:17" ht="14.25" thickTop="1" thickBot="1">
      <c r="A71" s="25"/>
      <c r="B71" s="152" t="s">
        <v>17</v>
      </c>
      <c r="C71" s="147"/>
      <c r="D71" s="147"/>
      <c r="E71" s="147"/>
      <c r="F71" s="153"/>
      <c r="G71" s="72"/>
      <c r="H71" s="73"/>
      <c r="I71" s="74"/>
      <c r="J71" s="57" t="s">
        <v>21</v>
      </c>
      <c r="K71" s="147">
        <f>SUM(L60:L70)</f>
        <v>859.12650000000008</v>
      </c>
      <c r="L71" s="153"/>
      <c r="M71" s="46">
        <f>0.15*N61</f>
        <v>4.512219012605042E-2</v>
      </c>
      <c r="N71" s="55">
        <v>0</v>
      </c>
      <c r="O71" s="45">
        <v>0.05</v>
      </c>
      <c r="P71" s="55">
        <f>1+O71+N71+M71</f>
        <v>1.0951221901260504</v>
      </c>
      <c r="Q71" s="62"/>
    </row>
    <row r="72" spans="1:17">
      <c r="A72" s="15"/>
      <c r="B72" s="33"/>
      <c r="C72" s="76" t="s">
        <v>89</v>
      </c>
      <c r="D72" s="22">
        <v>1.9000000000000001E-4</v>
      </c>
      <c r="E72" s="22" t="s">
        <v>27</v>
      </c>
      <c r="F72" s="34">
        <v>16</v>
      </c>
      <c r="G72" s="49" t="s">
        <v>25</v>
      </c>
      <c r="H72" s="137">
        <f>(0.5*H59)/3600</f>
        <v>6.604444444444444E-3</v>
      </c>
      <c r="I72" s="138"/>
      <c r="J72" s="22"/>
      <c r="K72" s="22"/>
      <c r="L72" s="34"/>
      <c r="M72" s="22"/>
      <c r="N72" s="22"/>
      <c r="O72" s="22"/>
      <c r="P72" s="22" t="s">
        <v>24</v>
      </c>
      <c r="Q72" s="23">
        <f>K71*P71</f>
        <v>940.84849427532833</v>
      </c>
    </row>
    <row r="73" spans="1:17" ht="13.5" thickBot="1">
      <c r="A73" s="15"/>
      <c r="B73" s="33"/>
      <c r="C73" s="76" t="s">
        <v>88</v>
      </c>
      <c r="D73" s="66">
        <f>(1.2*0.9)*2</f>
        <v>2.16</v>
      </c>
      <c r="E73" s="22" t="s">
        <v>28</v>
      </c>
      <c r="F73" s="34">
        <v>0.7</v>
      </c>
      <c r="G73" s="35" t="s">
        <v>26</v>
      </c>
      <c r="H73" s="139">
        <f>((D72*D73)*F72*F73)</f>
        <v>4.59648E-3</v>
      </c>
      <c r="I73" s="140"/>
      <c r="J73" s="22"/>
      <c r="K73" s="22"/>
      <c r="L73" s="34"/>
      <c r="M73" s="22"/>
      <c r="N73" s="22"/>
      <c r="O73" s="22"/>
      <c r="P73" s="22" t="s">
        <v>29</v>
      </c>
      <c r="Q73" s="23">
        <f>1300*(H74*(N62-(N63)))</f>
        <v>300.5022222222222</v>
      </c>
    </row>
    <row r="74" spans="1:17" ht="13.5" thickBot="1">
      <c r="A74" s="25"/>
      <c r="B74" s="36"/>
      <c r="C74" s="26"/>
      <c r="D74" s="75"/>
      <c r="E74" s="75"/>
      <c r="F74" s="40"/>
      <c r="G74" s="41" t="s">
        <v>18</v>
      </c>
      <c r="H74" s="141">
        <f>MAX(H72,H73)</f>
        <v>6.604444444444444E-3</v>
      </c>
      <c r="I74" s="142"/>
      <c r="J74" s="75"/>
      <c r="K74" s="75"/>
      <c r="L74" s="40"/>
      <c r="M74" s="75"/>
      <c r="N74" s="75"/>
      <c r="O74" s="75"/>
      <c r="P74" s="91" t="s">
        <v>90</v>
      </c>
      <c r="Q74" s="100">
        <f>SUM(Q72:Q73)</f>
        <v>1241.3507164975506</v>
      </c>
    </row>
    <row r="75" spans="1:17" ht="13.5" thickBot="1">
      <c r="A75" s="76"/>
      <c r="B75" s="76"/>
      <c r="C75" s="76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7"/>
    </row>
    <row r="76" spans="1:17" ht="13.5" thickBot="1">
      <c r="A76" s="19"/>
      <c r="B76" s="143" t="s">
        <v>101</v>
      </c>
      <c r="C76" s="144"/>
      <c r="D76" s="144"/>
      <c r="E76" s="144"/>
      <c r="F76" s="145"/>
      <c r="G76" s="60" t="s">
        <v>19</v>
      </c>
      <c r="H76" s="146">
        <f>((1.3+0.9)*1.9+1.1*1.2)*3.2</f>
        <v>17.600000000000001</v>
      </c>
      <c r="I76" s="146"/>
      <c r="J76" s="59" t="s">
        <v>20</v>
      </c>
      <c r="K76" s="59"/>
      <c r="L76" s="61"/>
      <c r="M76" s="59"/>
      <c r="N76" s="59"/>
      <c r="O76" s="59"/>
      <c r="P76" s="59"/>
      <c r="Q76" s="24"/>
    </row>
    <row r="77" spans="1:17">
      <c r="A77" s="16" t="s">
        <v>30</v>
      </c>
      <c r="B77" s="67">
        <v>45</v>
      </c>
      <c r="C77" s="69">
        <v>2.2000000000000002</v>
      </c>
      <c r="D77" s="69">
        <v>3.2</v>
      </c>
      <c r="E77" s="57">
        <f t="shared" ref="E77:E78" si="40">C77*D77</f>
        <v>7.0400000000000009</v>
      </c>
      <c r="F77" s="70">
        <v>1</v>
      </c>
      <c r="G77" s="67">
        <f>0.9*0.9</f>
        <v>0.81</v>
      </c>
      <c r="H77" s="57">
        <f>(E77-(F77*G77))</f>
        <v>6.23</v>
      </c>
      <c r="I77" s="69">
        <v>1.304</v>
      </c>
      <c r="J77" s="69">
        <v>39</v>
      </c>
      <c r="K77" s="57">
        <f t="shared" ref="K77:K78" si="41">J77*I77</f>
        <v>50.856000000000002</v>
      </c>
      <c r="L77" s="58">
        <f t="shared" ref="L77:L78" si="42">H77*I77*J77</f>
        <v>316.83287999999999</v>
      </c>
      <c r="M77" s="17" t="s">
        <v>22</v>
      </c>
      <c r="N77" s="147">
        <f>E84</f>
        <v>47.250000000000007</v>
      </c>
      <c r="O77" s="147"/>
      <c r="P77" s="147"/>
      <c r="Q77" s="148"/>
    </row>
    <row r="78" spans="1:17">
      <c r="A78" s="10" t="s">
        <v>31</v>
      </c>
      <c r="B78" s="68">
        <v>10</v>
      </c>
      <c r="C78" s="64">
        <f>3.2+1.1</f>
        <v>4.3000000000000007</v>
      </c>
      <c r="D78" s="64">
        <v>3.2</v>
      </c>
      <c r="E78" s="55">
        <f t="shared" si="40"/>
        <v>13.760000000000003</v>
      </c>
      <c r="F78" s="71">
        <v>1</v>
      </c>
      <c r="G78" s="68">
        <f>0.6*2</f>
        <v>1.2</v>
      </c>
      <c r="H78" s="55">
        <f t="shared" ref="H78" si="43">(E78-(F78*G78))</f>
        <v>12.560000000000004</v>
      </c>
      <c r="I78" s="64">
        <v>2.87</v>
      </c>
      <c r="J78" s="64">
        <v>4</v>
      </c>
      <c r="K78" s="55">
        <f t="shared" si="41"/>
        <v>11.48</v>
      </c>
      <c r="L78" s="47">
        <f t="shared" si="42"/>
        <v>144.18880000000004</v>
      </c>
      <c r="M78" s="46" t="s">
        <v>23</v>
      </c>
      <c r="N78" s="150">
        <f>K85/(N77*(N79-N80))</f>
        <v>0.54501879256545926</v>
      </c>
      <c r="O78" s="150"/>
      <c r="P78" s="150"/>
      <c r="Q78" s="149"/>
    </row>
    <row r="79" spans="1:17">
      <c r="A79" s="10" t="s">
        <v>73</v>
      </c>
      <c r="B79" s="68">
        <v>10</v>
      </c>
      <c r="C79" s="64">
        <f>1.2+1.1+1.9</f>
        <v>4.1999999999999993</v>
      </c>
      <c r="D79" s="64">
        <v>3.2</v>
      </c>
      <c r="E79" s="55">
        <f>C79*D79</f>
        <v>13.439999999999998</v>
      </c>
      <c r="F79" s="71">
        <v>0</v>
      </c>
      <c r="G79" s="68"/>
      <c r="H79" s="55">
        <f>(E79-(F79*G79))</f>
        <v>13.439999999999998</v>
      </c>
      <c r="I79" s="64">
        <v>2.87</v>
      </c>
      <c r="J79" s="64">
        <v>4</v>
      </c>
      <c r="K79" s="55">
        <f>J79*I79</f>
        <v>11.48</v>
      </c>
      <c r="L79" s="47">
        <f>H79*I79*J79</f>
        <v>154.29119999999998</v>
      </c>
      <c r="M79" s="46" t="s">
        <v>76</v>
      </c>
      <c r="N79" s="151">
        <v>24</v>
      </c>
      <c r="O79" s="151"/>
      <c r="P79" s="151"/>
      <c r="Q79" s="149"/>
    </row>
    <row r="80" spans="1:17">
      <c r="A80" s="10" t="s">
        <v>82</v>
      </c>
      <c r="B80" s="68"/>
      <c r="C80" s="64">
        <v>0.9</v>
      </c>
      <c r="D80" s="64">
        <v>0.9</v>
      </c>
      <c r="E80" s="55">
        <f>C80*D80</f>
        <v>0.81</v>
      </c>
      <c r="F80" s="71"/>
      <c r="G80" s="68"/>
      <c r="H80" s="55">
        <f>(E80-(F80*G80))</f>
        <v>0.81</v>
      </c>
      <c r="I80" s="64">
        <v>4</v>
      </c>
      <c r="J80" s="64">
        <v>39</v>
      </c>
      <c r="K80" s="55">
        <f>J80*I80</f>
        <v>156</v>
      </c>
      <c r="L80" s="47">
        <f>H80*I80*J80</f>
        <v>126.36000000000001</v>
      </c>
      <c r="M80" s="46" t="s">
        <v>77</v>
      </c>
      <c r="N80" s="151">
        <v>-15</v>
      </c>
      <c r="O80" s="151"/>
      <c r="P80" s="151"/>
      <c r="Q80" s="149"/>
    </row>
    <row r="81" spans="1:17">
      <c r="A81" s="10" t="s">
        <v>100</v>
      </c>
      <c r="B81" s="68"/>
      <c r="C81" s="64">
        <v>0.6</v>
      </c>
      <c r="D81" s="64">
        <v>2</v>
      </c>
      <c r="E81" s="55">
        <f>C81*D81</f>
        <v>1.2</v>
      </c>
      <c r="F81" s="71"/>
      <c r="G81" s="68"/>
      <c r="H81" s="55">
        <f>(E81-(F81*G81))</f>
        <v>1.2</v>
      </c>
      <c r="I81" s="64">
        <v>2</v>
      </c>
      <c r="J81" s="64">
        <v>4</v>
      </c>
      <c r="K81" s="55">
        <f>J81*I81</f>
        <v>8</v>
      </c>
      <c r="L81" s="47">
        <f>H81*I81*J81</f>
        <v>9.6</v>
      </c>
      <c r="M81" s="96"/>
      <c r="N81" s="96"/>
      <c r="O81" s="96"/>
      <c r="P81" s="97"/>
      <c r="Q81" s="149"/>
    </row>
    <row r="82" spans="1:17">
      <c r="A82" s="86" t="s">
        <v>86</v>
      </c>
      <c r="B82" s="87">
        <v>58</v>
      </c>
      <c r="C82" s="88"/>
      <c r="D82" s="88"/>
      <c r="E82" s="55">
        <f>(2.2*1.9)+(1.1*1.2)</f>
        <v>5.5</v>
      </c>
      <c r="F82" s="89"/>
      <c r="G82" s="87"/>
      <c r="H82" s="55">
        <f>(E82-(F82*G82))</f>
        <v>5.5</v>
      </c>
      <c r="I82" s="64">
        <v>0.88300000000000001</v>
      </c>
      <c r="J82" s="64">
        <v>39</v>
      </c>
      <c r="K82" s="55">
        <f>J82*I82</f>
        <v>34.436999999999998</v>
      </c>
      <c r="L82" s="47">
        <f>H82*I82*J82</f>
        <v>189.40350000000001</v>
      </c>
      <c r="M82" s="52"/>
      <c r="N82" s="53"/>
      <c r="O82" s="53"/>
      <c r="P82" s="54"/>
      <c r="Q82" s="149"/>
    </row>
    <row r="83" spans="1:17">
      <c r="A83" s="86" t="s">
        <v>87</v>
      </c>
      <c r="B83" s="87"/>
      <c r="C83" s="88"/>
      <c r="D83" s="88"/>
      <c r="E83" s="55">
        <f>(2.2*1.9)+(1.1*1.2)</f>
        <v>5.5</v>
      </c>
      <c r="F83" s="89"/>
      <c r="G83" s="87"/>
      <c r="H83" s="55">
        <f>(E83-(F83*G83))</f>
        <v>5.5</v>
      </c>
      <c r="I83" s="64">
        <v>1.286</v>
      </c>
      <c r="J83" s="64">
        <v>9</v>
      </c>
      <c r="K83" s="55">
        <f>J83*I83</f>
        <v>11.574</v>
      </c>
      <c r="L83" s="47">
        <f>H83*I83*J83</f>
        <v>63.657000000000004</v>
      </c>
      <c r="M83" s="52"/>
      <c r="N83" s="53"/>
      <c r="O83" s="53"/>
      <c r="P83" s="54"/>
      <c r="Q83" s="149"/>
    </row>
    <row r="84" spans="1:17" ht="13.5" thickBot="1">
      <c r="A84" s="42"/>
      <c r="B84" s="93"/>
      <c r="C84" s="94"/>
      <c r="D84" s="94"/>
      <c r="E84" s="90">
        <f>SUM(E77:E83)</f>
        <v>47.250000000000007</v>
      </c>
      <c r="F84" s="95"/>
      <c r="G84" s="93"/>
      <c r="H84" s="94"/>
      <c r="I84" s="94"/>
      <c r="J84" s="94"/>
      <c r="K84" s="94"/>
      <c r="L84" s="44"/>
      <c r="M84" s="50"/>
      <c r="N84" s="56"/>
      <c r="O84" s="56"/>
      <c r="P84" s="51"/>
      <c r="Q84" s="149"/>
    </row>
    <row r="85" spans="1:17" ht="14.25" thickTop="1" thickBot="1">
      <c r="A85" s="25"/>
      <c r="B85" s="152" t="s">
        <v>17</v>
      </c>
      <c r="C85" s="147"/>
      <c r="D85" s="147"/>
      <c r="E85" s="147"/>
      <c r="F85" s="153"/>
      <c r="G85" s="72"/>
      <c r="H85" s="73"/>
      <c r="I85" s="74"/>
      <c r="J85" s="57" t="s">
        <v>21</v>
      </c>
      <c r="K85" s="147">
        <f>SUM(L77:L84)</f>
        <v>1004.3333800000001</v>
      </c>
      <c r="L85" s="153"/>
      <c r="M85" s="46">
        <f>0.15*N78</f>
        <v>8.175281888481889E-2</v>
      </c>
      <c r="N85" s="55">
        <v>0</v>
      </c>
      <c r="O85" s="45">
        <v>0.05</v>
      </c>
      <c r="P85" s="55">
        <f>1+O85+N85+M85</f>
        <v>1.1317528188848189</v>
      </c>
      <c r="Q85" s="62"/>
    </row>
    <row r="86" spans="1:17">
      <c r="A86" s="15"/>
      <c r="B86" s="33"/>
      <c r="C86" s="76" t="s">
        <v>89</v>
      </c>
      <c r="D86" s="22">
        <v>1.9000000000000001E-4</v>
      </c>
      <c r="E86" s="22" t="s">
        <v>27</v>
      </c>
      <c r="F86" s="34">
        <v>16</v>
      </c>
      <c r="G86" s="49" t="s">
        <v>25</v>
      </c>
      <c r="H86" s="137">
        <f>(0.5*H76)/3600</f>
        <v>2.4444444444444448E-3</v>
      </c>
      <c r="I86" s="138"/>
      <c r="J86" s="22"/>
      <c r="K86" s="22"/>
      <c r="L86" s="34"/>
      <c r="M86" s="22"/>
      <c r="N86" s="22"/>
      <c r="O86" s="22"/>
      <c r="P86" s="22" t="s">
        <v>24</v>
      </c>
      <c r="Q86" s="23">
        <f>K85*P85</f>
        <v>1136.6571339151183</v>
      </c>
    </row>
    <row r="87" spans="1:17" ht="13.5" thickBot="1">
      <c r="A87" s="15"/>
      <c r="B87" s="33"/>
      <c r="C87" s="76" t="s">
        <v>88</v>
      </c>
      <c r="D87" s="66">
        <f>(0.9+0.9)*2</f>
        <v>3.6</v>
      </c>
      <c r="E87" s="22" t="s">
        <v>28</v>
      </c>
      <c r="F87" s="34">
        <v>0.7</v>
      </c>
      <c r="G87" s="35" t="s">
        <v>26</v>
      </c>
      <c r="H87" s="139">
        <f>((D86*D87)*F86*F87)</f>
        <v>7.6607999999999997E-3</v>
      </c>
      <c r="I87" s="140"/>
      <c r="J87" s="22"/>
      <c r="K87" s="22"/>
      <c r="L87" s="34"/>
      <c r="M87" s="22"/>
      <c r="N87" s="22"/>
      <c r="O87" s="22"/>
      <c r="P87" s="22" t="s">
        <v>29</v>
      </c>
      <c r="Q87" s="23">
        <f>1300*(H88*(N79-(N80)))</f>
        <v>388.40255999999999</v>
      </c>
    </row>
    <row r="88" spans="1:17" ht="13.5" thickBot="1">
      <c r="A88" s="25"/>
      <c r="B88" s="36"/>
      <c r="C88" s="26"/>
      <c r="D88" s="75"/>
      <c r="E88" s="75"/>
      <c r="F88" s="40"/>
      <c r="G88" s="41" t="s">
        <v>18</v>
      </c>
      <c r="H88" s="141">
        <f>MAX(H86,H87)</f>
        <v>7.6607999999999997E-3</v>
      </c>
      <c r="I88" s="142"/>
      <c r="J88" s="75"/>
      <c r="K88" s="75"/>
      <c r="L88" s="40"/>
      <c r="M88" s="75"/>
      <c r="N88" s="75"/>
      <c r="O88" s="75"/>
      <c r="P88" s="91" t="s">
        <v>90</v>
      </c>
      <c r="Q88" s="100">
        <f>SUM(Q86:Q87)</f>
        <v>1525.0596939151183</v>
      </c>
    </row>
    <row r="89" spans="1:17" ht="13.5" thickBot="1">
      <c r="A89" s="76"/>
      <c r="B89" s="76"/>
      <c r="C89" s="76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7"/>
    </row>
    <row r="90" spans="1:17" ht="13.5" thickBot="1">
      <c r="A90" s="19"/>
      <c r="B90" s="143" t="s">
        <v>102</v>
      </c>
      <c r="C90" s="144"/>
      <c r="D90" s="144"/>
      <c r="E90" s="144"/>
      <c r="F90" s="145"/>
      <c r="G90" s="60" t="s">
        <v>19</v>
      </c>
      <c r="H90" s="146">
        <f>(2*1.1+2.2*1.1)*3.2</f>
        <v>14.784000000000004</v>
      </c>
      <c r="I90" s="146"/>
      <c r="J90" s="59" t="s">
        <v>20</v>
      </c>
      <c r="K90" s="59"/>
      <c r="L90" s="61"/>
      <c r="M90" s="59"/>
      <c r="N90" s="59"/>
      <c r="O90" s="59"/>
      <c r="P90" s="59"/>
      <c r="Q90" s="24"/>
    </row>
    <row r="91" spans="1:17">
      <c r="A91" s="16" t="s">
        <v>30</v>
      </c>
      <c r="B91" s="67">
        <v>45</v>
      </c>
      <c r="C91" s="69">
        <v>1.1000000000000001</v>
      </c>
      <c r="D91" s="69">
        <v>3.2</v>
      </c>
      <c r="E91" s="57">
        <f t="shared" ref="E91:E92" si="44">C91*D91</f>
        <v>3.5200000000000005</v>
      </c>
      <c r="F91" s="70">
        <v>1</v>
      </c>
      <c r="G91" s="67">
        <f>0.6*0.9</f>
        <v>0.54</v>
      </c>
      <c r="H91" s="57">
        <f>(E91-(F91*G91))</f>
        <v>2.9800000000000004</v>
      </c>
      <c r="I91" s="69">
        <v>1.304</v>
      </c>
      <c r="J91" s="69">
        <v>35</v>
      </c>
      <c r="K91" s="57">
        <f t="shared" ref="K91:K92" si="45">J91*I91</f>
        <v>45.64</v>
      </c>
      <c r="L91" s="58">
        <f t="shared" ref="L91:L92" si="46">H91*I91*J91</f>
        <v>136.00720000000001</v>
      </c>
      <c r="M91" s="17" t="s">
        <v>22</v>
      </c>
      <c r="N91" s="147">
        <f>E99</f>
        <v>44.900000000000006</v>
      </c>
      <c r="O91" s="147"/>
      <c r="P91" s="147"/>
      <c r="Q91" s="148"/>
    </row>
    <row r="92" spans="1:17">
      <c r="A92" s="10" t="s">
        <v>92</v>
      </c>
      <c r="B92" s="68">
        <v>10</v>
      </c>
      <c r="C92" s="64">
        <f>2+1.1+1.1</f>
        <v>4.2</v>
      </c>
      <c r="D92" s="64">
        <v>3.2</v>
      </c>
      <c r="E92" s="55">
        <f t="shared" si="44"/>
        <v>13.440000000000001</v>
      </c>
      <c r="F92" s="71"/>
      <c r="G92" s="68"/>
      <c r="H92" s="55">
        <f t="shared" ref="H92" si="47">(E92-(F92*G92))</f>
        <v>13.440000000000001</v>
      </c>
      <c r="I92" s="64">
        <v>2.87</v>
      </c>
      <c r="J92" s="64">
        <v>-4</v>
      </c>
      <c r="K92" s="55">
        <f t="shared" si="45"/>
        <v>-11.48</v>
      </c>
      <c r="L92" s="47">
        <f t="shared" si="46"/>
        <v>-154.29120000000003</v>
      </c>
      <c r="M92" s="46" t="s">
        <v>23</v>
      </c>
      <c r="N92" s="150">
        <f>K100/(N91*(N93-N94))</f>
        <v>0.15386808781419026</v>
      </c>
      <c r="O92" s="150"/>
      <c r="P92" s="150"/>
      <c r="Q92" s="149"/>
    </row>
    <row r="93" spans="1:17">
      <c r="A93" s="10" t="s">
        <v>73</v>
      </c>
      <c r="B93" s="68">
        <v>10</v>
      </c>
      <c r="C93" s="64">
        <v>2.2000000000000002</v>
      </c>
      <c r="D93" s="64">
        <v>3.2</v>
      </c>
      <c r="E93" s="55">
        <f>C93*D93</f>
        <v>7.0400000000000009</v>
      </c>
      <c r="F93" s="71">
        <v>1</v>
      </c>
      <c r="G93" s="68">
        <f>0.6*2</f>
        <v>1.2</v>
      </c>
      <c r="H93" s="55">
        <f t="shared" ref="H93:H98" si="48">(E93-(F93*G93))</f>
        <v>5.8400000000000007</v>
      </c>
      <c r="I93" s="64">
        <v>2.87</v>
      </c>
      <c r="J93" s="64">
        <v>0</v>
      </c>
      <c r="K93" s="55">
        <f t="shared" ref="K93:K98" si="49">J93*I93</f>
        <v>0</v>
      </c>
      <c r="L93" s="47">
        <f t="shared" ref="L93:L98" si="50">H93*I93*J93</f>
        <v>0</v>
      </c>
      <c r="M93" s="46" t="s">
        <v>76</v>
      </c>
      <c r="N93" s="151">
        <v>20</v>
      </c>
      <c r="O93" s="151"/>
      <c r="P93" s="151"/>
      <c r="Q93" s="149"/>
    </row>
    <row r="94" spans="1:17">
      <c r="A94" s="10" t="s">
        <v>81</v>
      </c>
      <c r="B94" s="68">
        <v>10</v>
      </c>
      <c r="C94" s="64">
        <v>3.1</v>
      </c>
      <c r="D94" s="64">
        <v>3.2</v>
      </c>
      <c r="E94" s="55">
        <f>C94*D94</f>
        <v>9.9200000000000017</v>
      </c>
      <c r="F94" s="71"/>
      <c r="G94" s="68"/>
      <c r="H94" s="55">
        <f t="shared" si="48"/>
        <v>9.9200000000000017</v>
      </c>
      <c r="I94" s="64">
        <v>2.87</v>
      </c>
      <c r="J94" s="64">
        <v>0</v>
      </c>
      <c r="K94" s="55">
        <f t="shared" si="49"/>
        <v>0</v>
      </c>
      <c r="L94" s="47">
        <f t="shared" si="50"/>
        <v>0</v>
      </c>
      <c r="M94" s="46" t="s">
        <v>77</v>
      </c>
      <c r="N94" s="151">
        <v>-15</v>
      </c>
      <c r="O94" s="151"/>
      <c r="P94" s="151"/>
      <c r="Q94" s="149"/>
    </row>
    <row r="95" spans="1:17">
      <c r="A95" s="10" t="s">
        <v>103</v>
      </c>
      <c r="B95" s="68"/>
      <c r="C95" s="64">
        <v>0.9</v>
      </c>
      <c r="D95" s="64">
        <v>0.6</v>
      </c>
      <c r="E95" s="55">
        <f>C95*D95</f>
        <v>0.54</v>
      </c>
      <c r="F95" s="71"/>
      <c r="G95" s="68"/>
      <c r="H95" s="55">
        <f t="shared" si="48"/>
        <v>0.54</v>
      </c>
      <c r="I95" s="64">
        <v>4</v>
      </c>
      <c r="J95" s="64">
        <v>35</v>
      </c>
      <c r="K95" s="55">
        <f t="shared" si="49"/>
        <v>140</v>
      </c>
      <c r="L95" s="47">
        <f t="shared" si="50"/>
        <v>75.600000000000009</v>
      </c>
      <c r="M95" s="76"/>
      <c r="N95" s="96"/>
      <c r="O95" s="96"/>
      <c r="P95" s="97"/>
      <c r="Q95" s="149"/>
    </row>
    <row r="96" spans="1:17">
      <c r="A96" s="10" t="s">
        <v>100</v>
      </c>
      <c r="B96" s="68"/>
      <c r="C96" s="64">
        <v>0.6</v>
      </c>
      <c r="D96" s="64">
        <v>2</v>
      </c>
      <c r="E96" s="55">
        <f>C96*D96</f>
        <v>1.2</v>
      </c>
      <c r="F96" s="71"/>
      <c r="G96" s="68"/>
      <c r="H96" s="55">
        <f t="shared" si="48"/>
        <v>1.2</v>
      </c>
      <c r="I96" s="64">
        <v>2</v>
      </c>
      <c r="J96" s="64">
        <v>5</v>
      </c>
      <c r="K96" s="55">
        <f t="shared" si="49"/>
        <v>10</v>
      </c>
      <c r="L96" s="47">
        <f t="shared" si="50"/>
        <v>12</v>
      </c>
      <c r="M96" s="96"/>
      <c r="N96" s="96"/>
      <c r="O96" s="96"/>
      <c r="P96" s="97"/>
      <c r="Q96" s="149"/>
    </row>
    <row r="97" spans="1:17">
      <c r="A97" s="86" t="s">
        <v>86</v>
      </c>
      <c r="B97" s="87">
        <v>58</v>
      </c>
      <c r="C97" s="88"/>
      <c r="D97" s="88"/>
      <c r="E97" s="55">
        <f>1.1*2+2.2*1.1</f>
        <v>4.620000000000001</v>
      </c>
      <c r="F97" s="89"/>
      <c r="G97" s="87"/>
      <c r="H97" s="55">
        <f t="shared" si="48"/>
        <v>4.620000000000001</v>
      </c>
      <c r="I97" s="64">
        <v>0.88300000000000001</v>
      </c>
      <c r="J97" s="64">
        <v>35</v>
      </c>
      <c r="K97" s="55">
        <f t="shared" si="49"/>
        <v>30.905000000000001</v>
      </c>
      <c r="L97" s="47">
        <f t="shared" si="50"/>
        <v>142.78110000000004</v>
      </c>
      <c r="M97" s="52"/>
      <c r="N97" s="53"/>
      <c r="O97" s="53"/>
      <c r="P97" s="54"/>
      <c r="Q97" s="149"/>
    </row>
    <row r="98" spans="1:17">
      <c r="A98" s="86" t="s">
        <v>87</v>
      </c>
      <c r="B98" s="87"/>
      <c r="C98" s="88"/>
      <c r="D98" s="88"/>
      <c r="E98" s="55">
        <f>E97</f>
        <v>4.620000000000001</v>
      </c>
      <c r="F98" s="89"/>
      <c r="G98" s="87"/>
      <c r="H98" s="55">
        <f t="shared" si="48"/>
        <v>4.620000000000001</v>
      </c>
      <c r="I98" s="64">
        <v>1.286</v>
      </c>
      <c r="J98" s="64">
        <v>5</v>
      </c>
      <c r="K98" s="55">
        <f t="shared" si="49"/>
        <v>6.43</v>
      </c>
      <c r="L98" s="47">
        <f t="shared" si="50"/>
        <v>29.706600000000005</v>
      </c>
      <c r="M98" s="52"/>
      <c r="N98" s="53"/>
      <c r="O98" s="53"/>
      <c r="P98" s="54"/>
      <c r="Q98" s="149"/>
    </row>
    <row r="99" spans="1:17" ht="13.5" thickBot="1">
      <c r="A99" s="42"/>
      <c r="B99" s="93"/>
      <c r="C99" s="94"/>
      <c r="D99" s="94"/>
      <c r="E99" s="90">
        <f>SUM(E91:E98)</f>
        <v>44.900000000000006</v>
      </c>
      <c r="F99" s="95"/>
      <c r="G99" s="93"/>
      <c r="H99" s="94"/>
      <c r="I99" s="94"/>
      <c r="J99" s="94"/>
      <c r="K99" s="94"/>
      <c r="L99" s="44"/>
      <c r="M99" s="50"/>
      <c r="N99" s="56"/>
      <c r="O99" s="56"/>
      <c r="P99" s="51"/>
      <c r="Q99" s="149"/>
    </row>
    <row r="100" spans="1:17" ht="14.25" thickTop="1" thickBot="1">
      <c r="A100" s="25"/>
      <c r="B100" s="152" t="s">
        <v>17</v>
      </c>
      <c r="C100" s="147"/>
      <c r="D100" s="147"/>
      <c r="E100" s="147"/>
      <c r="F100" s="153"/>
      <c r="G100" s="72"/>
      <c r="H100" s="73"/>
      <c r="I100" s="74"/>
      <c r="J100" s="57" t="s">
        <v>21</v>
      </c>
      <c r="K100" s="147">
        <f>SUM(L91:L99)</f>
        <v>241.80370000000002</v>
      </c>
      <c r="L100" s="153"/>
      <c r="M100" s="46">
        <f>0.15*N92</f>
        <v>2.3080213172128539E-2</v>
      </c>
      <c r="N100" s="55">
        <v>0</v>
      </c>
      <c r="O100" s="45">
        <v>0.05</v>
      </c>
      <c r="P100" s="55">
        <f>1+O100+N100+M100</f>
        <v>1.0730802131721286</v>
      </c>
      <c r="Q100" s="62"/>
    </row>
    <row r="101" spans="1:17">
      <c r="A101" s="15"/>
      <c r="B101" s="33"/>
      <c r="C101" s="76" t="s">
        <v>89</v>
      </c>
      <c r="D101" s="22">
        <v>1.9000000000000001E-4</v>
      </c>
      <c r="E101" s="22" t="s">
        <v>27</v>
      </c>
      <c r="F101" s="34">
        <v>16</v>
      </c>
      <c r="G101" s="49" t="s">
        <v>25</v>
      </c>
      <c r="H101" s="137">
        <f>(0.5*H90)/3600</f>
        <v>2.0533333333333341E-3</v>
      </c>
      <c r="I101" s="138"/>
      <c r="J101" s="22"/>
      <c r="K101" s="22"/>
      <c r="L101" s="34"/>
      <c r="M101" s="22"/>
      <c r="N101" s="22"/>
      <c r="O101" s="22"/>
      <c r="P101" s="22" t="s">
        <v>24</v>
      </c>
      <c r="Q101" s="23">
        <f>K100*P100</f>
        <v>259.47476594180949</v>
      </c>
    </row>
    <row r="102" spans="1:17" ht="13.5" thickBot="1">
      <c r="A102" s="15"/>
      <c r="B102" s="33"/>
      <c r="C102" s="76" t="s">
        <v>88</v>
      </c>
      <c r="D102" s="66">
        <f>(0.9+0.6)*2</f>
        <v>3</v>
      </c>
      <c r="E102" s="22" t="s">
        <v>28</v>
      </c>
      <c r="F102" s="34">
        <v>0.7</v>
      </c>
      <c r="G102" s="35" t="s">
        <v>26</v>
      </c>
      <c r="H102" s="139">
        <f>((D101*D102)*F101*F102)</f>
        <v>6.3839999999999991E-3</v>
      </c>
      <c r="I102" s="140"/>
      <c r="J102" s="22"/>
      <c r="K102" s="22"/>
      <c r="L102" s="34"/>
      <c r="M102" s="22"/>
      <c r="N102" s="22"/>
      <c r="O102" s="22"/>
      <c r="P102" s="22" t="s">
        <v>29</v>
      </c>
      <c r="Q102" s="23">
        <f>1300*(H103*(N93-(N94)))</f>
        <v>290.47199999999998</v>
      </c>
    </row>
    <row r="103" spans="1:17" ht="13.5" thickBot="1">
      <c r="A103" s="25"/>
      <c r="B103" s="36"/>
      <c r="C103" s="26"/>
      <c r="D103" s="75"/>
      <c r="E103" s="75"/>
      <c r="F103" s="40"/>
      <c r="G103" s="41" t="s">
        <v>18</v>
      </c>
      <c r="H103" s="141">
        <f>MAX(H101,H102)</f>
        <v>6.3839999999999991E-3</v>
      </c>
      <c r="I103" s="142"/>
      <c r="J103" s="75"/>
      <c r="K103" s="75"/>
      <c r="L103" s="40"/>
      <c r="M103" s="75"/>
      <c r="N103" s="75"/>
      <c r="O103" s="75"/>
      <c r="P103" s="91" t="s">
        <v>90</v>
      </c>
      <c r="Q103" s="100">
        <f>SUM(Q101:Q102)</f>
        <v>549.94676594180942</v>
      </c>
    </row>
    <row r="104" spans="1:17" ht="13.5" thickBot="1">
      <c r="A104" s="76"/>
      <c r="B104" s="76"/>
      <c r="C104" s="76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7"/>
    </row>
    <row r="105" spans="1:17" ht="13.5" thickBot="1">
      <c r="A105" s="19"/>
      <c r="B105" s="143" t="s">
        <v>105</v>
      </c>
      <c r="C105" s="144"/>
      <c r="D105" s="144"/>
      <c r="E105" s="144"/>
      <c r="F105" s="145"/>
      <c r="G105" s="60" t="s">
        <v>19</v>
      </c>
      <c r="H105" s="146">
        <f>2*1.1*3.2</f>
        <v>7.0400000000000009</v>
      </c>
      <c r="I105" s="146"/>
      <c r="J105" s="59" t="s">
        <v>20</v>
      </c>
      <c r="K105" s="59"/>
      <c r="L105" s="61"/>
      <c r="M105" s="59"/>
      <c r="N105" s="59"/>
      <c r="O105" s="59"/>
      <c r="P105" s="59"/>
      <c r="Q105" s="24"/>
    </row>
    <row r="106" spans="1:17">
      <c r="A106" s="16" t="s">
        <v>32</v>
      </c>
      <c r="B106" s="67">
        <v>10</v>
      </c>
      <c r="C106" s="69">
        <v>2</v>
      </c>
      <c r="D106" s="69">
        <v>3.2</v>
      </c>
      <c r="E106" s="57">
        <f t="shared" ref="E106:E107" si="51">C106*D106</f>
        <v>6.4</v>
      </c>
      <c r="F106" s="70">
        <v>1</v>
      </c>
      <c r="G106" s="67">
        <f>0.6*2</f>
        <v>1.2</v>
      </c>
      <c r="H106" s="57">
        <f>(E106-(F106*G106))</f>
        <v>5.2</v>
      </c>
      <c r="I106" s="69">
        <v>2.87</v>
      </c>
      <c r="J106" s="69">
        <v>-5</v>
      </c>
      <c r="K106" s="57">
        <f t="shared" ref="K106:K107" si="52">J106*I106</f>
        <v>-14.350000000000001</v>
      </c>
      <c r="L106" s="58">
        <f t="shared" ref="L106:L107" si="53">H106*I106*J106</f>
        <v>-74.62</v>
      </c>
      <c r="M106" s="17" t="s">
        <v>22</v>
      </c>
      <c r="N106" s="147">
        <f>E114</f>
        <v>28.639999999999997</v>
      </c>
      <c r="O106" s="147"/>
      <c r="P106" s="147"/>
      <c r="Q106" s="148"/>
    </row>
    <row r="107" spans="1:17">
      <c r="A107" s="10" t="s">
        <v>92</v>
      </c>
      <c r="B107" s="68">
        <v>10</v>
      </c>
      <c r="C107" s="64">
        <v>1.1000000000000001</v>
      </c>
      <c r="D107" s="64">
        <v>3.2</v>
      </c>
      <c r="E107" s="55">
        <f t="shared" si="51"/>
        <v>3.5200000000000005</v>
      </c>
      <c r="F107" s="71">
        <v>1</v>
      </c>
      <c r="G107" s="68">
        <f>0.8*2</f>
        <v>1.6</v>
      </c>
      <c r="H107" s="55">
        <f t="shared" ref="H107" si="54">(E107-(F107*G107))</f>
        <v>1.9200000000000004</v>
      </c>
      <c r="I107" s="64">
        <v>2.87</v>
      </c>
      <c r="J107" s="64">
        <v>-5</v>
      </c>
      <c r="K107" s="55">
        <f t="shared" si="52"/>
        <v>-14.350000000000001</v>
      </c>
      <c r="L107" s="47">
        <f t="shared" si="53"/>
        <v>-27.552000000000007</v>
      </c>
      <c r="M107" s="46" t="s">
        <v>23</v>
      </c>
      <c r="N107" s="150">
        <f>K115/(N106*(N108-N109))</f>
        <v>-4.8589385474860344E-2</v>
      </c>
      <c r="O107" s="150"/>
      <c r="P107" s="150"/>
      <c r="Q107" s="149"/>
    </row>
    <row r="108" spans="1:17">
      <c r="A108" s="10" t="s">
        <v>96</v>
      </c>
      <c r="B108" s="68">
        <v>30</v>
      </c>
      <c r="C108" s="64">
        <v>2</v>
      </c>
      <c r="D108" s="64">
        <v>3.2</v>
      </c>
      <c r="E108" s="55">
        <f>C108*D108</f>
        <v>6.4</v>
      </c>
      <c r="F108" s="71">
        <v>1</v>
      </c>
      <c r="G108" s="68">
        <f>0.8*2</f>
        <v>1.6</v>
      </c>
      <c r="H108" s="55">
        <f t="shared" ref="H108:H113" si="55">(E108-(F108*G108))</f>
        <v>4.8000000000000007</v>
      </c>
      <c r="I108" s="64">
        <v>1.7210000000000001</v>
      </c>
      <c r="J108" s="64">
        <v>0</v>
      </c>
      <c r="K108" s="55">
        <f t="shared" ref="K108:K113" si="56">J108*I108</f>
        <v>0</v>
      </c>
      <c r="L108" s="47">
        <f t="shared" ref="L108:L113" si="57">H108*I108*J108</f>
        <v>0</v>
      </c>
      <c r="M108" s="46" t="s">
        <v>76</v>
      </c>
      <c r="N108" s="151">
        <v>15</v>
      </c>
      <c r="O108" s="151"/>
      <c r="P108" s="151"/>
      <c r="Q108" s="149"/>
    </row>
    <row r="109" spans="1:17">
      <c r="A109" s="10" t="s">
        <v>81</v>
      </c>
      <c r="B109" s="68">
        <v>10</v>
      </c>
      <c r="C109" s="64">
        <v>1.1000000000000001</v>
      </c>
      <c r="D109" s="64">
        <v>3.2</v>
      </c>
      <c r="E109" s="55">
        <f>C109*D109</f>
        <v>3.5200000000000005</v>
      </c>
      <c r="F109" s="71"/>
      <c r="G109" s="68"/>
      <c r="H109" s="55">
        <f t="shared" si="55"/>
        <v>3.5200000000000005</v>
      </c>
      <c r="I109" s="64">
        <v>2.87</v>
      </c>
      <c r="J109" s="64">
        <v>0</v>
      </c>
      <c r="K109" s="55">
        <f t="shared" si="56"/>
        <v>0</v>
      </c>
      <c r="L109" s="47">
        <f t="shared" si="57"/>
        <v>0</v>
      </c>
      <c r="M109" s="46" t="s">
        <v>77</v>
      </c>
      <c r="N109" s="151">
        <v>-15</v>
      </c>
      <c r="O109" s="151"/>
      <c r="P109" s="151"/>
      <c r="Q109" s="149"/>
    </row>
    <row r="110" spans="1:17">
      <c r="A110" s="10" t="s">
        <v>100</v>
      </c>
      <c r="B110" s="68"/>
      <c r="C110" s="64">
        <v>0.6</v>
      </c>
      <c r="D110" s="64">
        <v>2</v>
      </c>
      <c r="E110" s="55">
        <f>C110*D110</f>
        <v>1.2</v>
      </c>
      <c r="F110" s="71"/>
      <c r="G110" s="68"/>
      <c r="H110" s="55">
        <f t="shared" si="55"/>
        <v>1.2</v>
      </c>
      <c r="I110" s="64">
        <v>2</v>
      </c>
      <c r="J110" s="64">
        <v>-5</v>
      </c>
      <c r="K110" s="55">
        <f t="shared" si="56"/>
        <v>-10</v>
      </c>
      <c r="L110" s="47">
        <f t="shared" si="57"/>
        <v>-12</v>
      </c>
      <c r="M110" s="76"/>
      <c r="N110" s="96"/>
      <c r="O110" s="96"/>
      <c r="P110" s="97"/>
      <c r="Q110" s="149"/>
    </row>
    <row r="111" spans="1:17">
      <c r="A111" s="10" t="s">
        <v>94</v>
      </c>
      <c r="B111" s="68"/>
      <c r="C111" s="64">
        <v>0.8</v>
      </c>
      <c r="D111" s="64">
        <v>2</v>
      </c>
      <c r="E111" s="55">
        <f>C111*D111*2</f>
        <v>3.2</v>
      </c>
      <c r="F111" s="71"/>
      <c r="G111" s="68"/>
      <c r="H111" s="55">
        <f t="shared" si="55"/>
        <v>3.2</v>
      </c>
      <c r="I111" s="64">
        <v>2</v>
      </c>
      <c r="J111" s="64">
        <v>0</v>
      </c>
      <c r="K111" s="55">
        <f t="shared" si="56"/>
        <v>0</v>
      </c>
      <c r="L111" s="47">
        <f t="shared" si="57"/>
        <v>0</v>
      </c>
      <c r="M111" s="96"/>
      <c r="N111" s="96"/>
      <c r="O111" s="96"/>
      <c r="P111" s="97"/>
      <c r="Q111" s="149"/>
    </row>
    <row r="112" spans="1:17">
      <c r="A112" s="86" t="s">
        <v>86</v>
      </c>
      <c r="B112" s="87">
        <v>58</v>
      </c>
      <c r="C112" s="88">
        <v>2</v>
      </c>
      <c r="D112" s="88">
        <v>1.1000000000000001</v>
      </c>
      <c r="E112" s="55">
        <f>D112*C112</f>
        <v>2.2000000000000002</v>
      </c>
      <c r="F112" s="89"/>
      <c r="G112" s="87"/>
      <c r="H112" s="55">
        <f t="shared" si="55"/>
        <v>2.2000000000000002</v>
      </c>
      <c r="I112" s="64">
        <v>0.88300000000000001</v>
      </c>
      <c r="J112" s="64">
        <v>30</v>
      </c>
      <c r="K112" s="55">
        <f t="shared" si="56"/>
        <v>26.490000000000002</v>
      </c>
      <c r="L112" s="47">
        <f t="shared" si="57"/>
        <v>58.278000000000006</v>
      </c>
      <c r="M112" s="52"/>
      <c r="N112" s="53"/>
      <c r="O112" s="53"/>
      <c r="P112" s="54"/>
      <c r="Q112" s="149"/>
    </row>
    <row r="113" spans="1:17">
      <c r="A113" s="86" t="s">
        <v>87</v>
      </c>
      <c r="B113" s="87"/>
      <c r="C113" s="88">
        <v>2</v>
      </c>
      <c r="D113" s="88">
        <v>1.1000000000000001</v>
      </c>
      <c r="E113" s="55">
        <f>E112</f>
        <v>2.2000000000000002</v>
      </c>
      <c r="F113" s="89"/>
      <c r="G113" s="87"/>
      <c r="H113" s="55">
        <f t="shared" si="55"/>
        <v>2.2000000000000002</v>
      </c>
      <c r="I113" s="64">
        <v>1.286</v>
      </c>
      <c r="J113" s="64">
        <v>5</v>
      </c>
      <c r="K113" s="55">
        <f t="shared" si="56"/>
        <v>6.43</v>
      </c>
      <c r="L113" s="47">
        <f t="shared" si="57"/>
        <v>14.146000000000001</v>
      </c>
      <c r="M113" s="52"/>
      <c r="N113" s="53"/>
      <c r="O113" s="53"/>
      <c r="P113" s="54"/>
      <c r="Q113" s="149"/>
    </row>
    <row r="114" spans="1:17" ht="13.5" thickBot="1">
      <c r="A114" s="42"/>
      <c r="B114" s="93"/>
      <c r="C114" s="94"/>
      <c r="D114" s="94"/>
      <c r="E114" s="90">
        <f>SUM(E106:E113)</f>
        <v>28.639999999999997</v>
      </c>
      <c r="F114" s="95"/>
      <c r="G114" s="93"/>
      <c r="H114" s="94"/>
      <c r="I114" s="94"/>
      <c r="J114" s="94"/>
      <c r="K114" s="94"/>
      <c r="L114" s="44"/>
      <c r="M114" s="50"/>
      <c r="N114" s="56"/>
      <c r="O114" s="56"/>
      <c r="P114" s="51"/>
      <c r="Q114" s="149"/>
    </row>
    <row r="115" spans="1:17" ht="14.25" thickTop="1" thickBot="1">
      <c r="A115" s="25"/>
      <c r="B115" s="152" t="s">
        <v>17</v>
      </c>
      <c r="C115" s="147"/>
      <c r="D115" s="147"/>
      <c r="E115" s="147"/>
      <c r="F115" s="153"/>
      <c r="G115" s="72"/>
      <c r="H115" s="73"/>
      <c r="I115" s="74"/>
      <c r="J115" s="57" t="s">
        <v>21</v>
      </c>
      <c r="K115" s="147">
        <f>SUM(L106:L114)</f>
        <v>-41.748000000000005</v>
      </c>
      <c r="L115" s="153"/>
      <c r="M115" s="46">
        <f>0.15*N107</f>
        <v>-7.2884078212290511E-3</v>
      </c>
      <c r="N115" s="55">
        <v>0</v>
      </c>
      <c r="O115" s="45">
        <v>0</v>
      </c>
      <c r="P115" s="55">
        <f>1+O115+N115+M115</f>
        <v>0.99271159217877092</v>
      </c>
      <c r="Q115" s="62"/>
    </row>
    <row r="116" spans="1:17">
      <c r="A116" s="15"/>
      <c r="B116" s="33"/>
      <c r="C116" s="76" t="s">
        <v>89</v>
      </c>
      <c r="D116" s="22">
        <v>1.9000000000000001E-4</v>
      </c>
      <c r="E116" s="22" t="s">
        <v>27</v>
      </c>
      <c r="F116" s="34">
        <v>16</v>
      </c>
      <c r="G116" s="49" t="s">
        <v>25</v>
      </c>
      <c r="H116" s="137">
        <f>(0.5*H105)/3600</f>
        <v>9.7777777777777793E-4</v>
      </c>
      <c r="I116" s="138"/>
      <c r="J116" s="22"/>
      <c r="K116" s="22"/>
      <c r="L116" s="34"/>
      <c r="M116" s="22"/>
      <c r="N116" s="22"/>
      <c r="O116" s="22"/>
      <c r="P116" s="22" t="s">
        <v>24</v>
      </c>
      <c r="Q116" s="23">
        <f>K115*P115</f>
        <v>-41.44372355027933</v>
      </c>
    </row>
    <row r="117" spans="1:17" ht="13.5" thickBot="1">
      <c r="A117" s="15"/>
      <c r="B117" s="33"/>
      <c r="C117" s="76" t="s">
        <v>88</v>
      </c>
      <c r="D117" s="66">
        <v>0</v>
      </c>
      <c r="E117" s="22" t="s">
        <v>28</v>
      </c>
      <c r="F117" s="34">
        <v>0.7</v>
      </c>
      <c r="G117" s="35" t="s">
        <v>26</v>
      </c>
      <c r="H117" s="139">
        <f>((D116*D117)*F116*F117)</f>
        <v>0</v>
      </c>
      <c r="I117" s="140"/>
      <c r="J117" s="22"/>
      <c r="K117" s="22"/>
      <c r="L117" s="34"/>
      <c r="M117" s="22"/>
      <c r="N117" s="22"/>
      <c r="O117" s="22"/>
      <c r="P117" s="22" t="s">
        <v>29</v>
      </c>
      <c r="Q117" s="23">
        <f>1300*(H118*(N108-(N109)))</f>
        <v>38.13333333333334</v>
      </c>
    </row>
    <row r="118" spans="1:17" ht="13.5" thickBot="1">
      <c r="A118" s="25"/>
      <c r="B118" s="36"/>
      <c r="C118" s="26"/>
      <c r="D118" s="75"/>
      <c r="E118" s="75"/>
      <c r="F118" s="40"/>
      <c r="G118" s="41" t="s">
        <v>18</v>
      </c>
      <c r="H118" s="141">
        <f>MAX(H116,H117)</f>
        <v>9.7777777777777793E-4</v>
      </c>
      <c r="I118" s="142"/>
      <c r="J118" s="75"/>
      <c r="K118" s="75"/>
      <c r="L118" s="40"/>
      <c r="M118" s="75"/>
      <c r="N118" s="75"/>
      <c r="O118" s="75"/>
      <c r="P118" s="91" t="s">
        <v>90</v>
      </c>
      <c r="Q118" s="100">
        <f>SUM(Q116:Q117)</f>
        <v>-3.31039021694599</v>
      </c>
    </row>
    <row r="119" spans="1:17" ht="13.5" thickBot="1">
      <c r="A119" s="76"/>
      <c r="B119" s="76"/>
      <c r="C119" s="76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7"/>
    </row>
    <row r="120" spans="1:17" ht="13.5" thickBot="1">
      <c r="A120" s="19"/>
      <c r="B120" s="143" t="s">
        <v>106</v>
      </c>
      <c r="C120" s="144"/>
      <c r="D120" s="144"/>
      <c r="E120" s="144"/>
      <c r="F120" s="145"/>
      <c r="G120" s="60" t="s">
        <v>19</v>
      </c>
      <c r="H120" s="146">
        <f>1.35*1.1*3.2</f>
        <v>4.7520000000000016</v>
      </c>
      <c r="I120" s="146"/>
      <c r="J120" s="59" t="s">
        <v>20</v>
      </c>
      <c r="K120" s="59"/>
      <c r="L120" s="61"/>
      <c r="M120" s="59"/>
      <c r="N120" s="59"/>
      <c r="O120" s="59"/>
      <c r="P120" s="59"/>
      <c r="Q120" s="24"/>
    </row>
    <row r="121" spans="1:17">
      <c r="A121" s="16" t="s">
        <v>32</v>
      </c>
      <c r="B121" s="67">
        <v>10</v>
      </c>
      <c r="C121" s="69">
        <v>1.35</v>
      </c>
      <c r="D121" s="69">
        <v>3.2</v>
      </c>
      <c r="E121" s="57">
        <f t="shared" ref="E121:E122" si="58">C121*D121</f>
        <v>4.32</v>
      </c>
      <c r="F121" s="70">
        <v>1</v>
      </c>
      <c r="G121" s="67">
        <f>0.6*2</f>
        <v>1.2</v>
      </c>
      <c r="H121" s="57">
        <f>(E121-(F121*G121))</f>
        <v>3.12</v>
      </c>
      <c r="I121" s="69">
        <v>2.87</v>
      </c>
      <c r="J121" s="69">
        <v>-5</v>
      </c>
      <c r="K121" s="57">
        <f t="shared" ref="K121:K122" si="59">J121*I121</f>
        <v>-14.350000000000001</v>
      </c>
      <c r="L121" s="58">
        <f t="shared" ref="L121:L122" si="60">H121*I121*J121</f>
        <v>-44.772000000000006</v>
      </c>
      <c r="M121" s="17" t="s">
        <v>22</v>
      </c>
      <c r="N121" s="147">
        <f>E130</f>
        <v>26.249999999999996</v>
      </c>
      <c r="O121" s="147"/>
      <c r="P121" s="147"/>
      <c r="Q121" s="148"/>
    </row>
    <row r="122" spans="1:17">
      <c r="A122" s="10" t="s">
        <v>92</v>
      </c>
      <c r="B122" s="68">
        <v>10</v>
      </c>
      <c r="C122" s="64">
        <v>1.1000000000000001</v>
      </c>
      <c r="D122" s="64">
        <v>3.2</v>
      </c>
      <c r="E122" s="55">
        <f t="shared" si="58"/>
        <v>3.5200000000000005</v>
      </c>
      <c r="F122" s="71"/>
      <c r="G122" s="68"/>
      <c r="H122" s="55">
        <f t="shared" ref="H122" si="61">(E122-(F122*G122))</f>
        <v>3.5200000000000005</v>
      </c>
      <c r="I122" s="64">
        <v>2.87</v>
      </c>
      <c r="J122" s="64">
        <v>-5</v>
      </c>
      <c r="K122" s="55">
        <f t="shared" si="59"/>
        <v>-14.350000000000001</v>
      </c>
      <c r="L122" s="47">
        <f t="shared" si="60"/>
        <v>-50.512000000000008</v>
      </c>
      <c r="M122" s="46" t="s">
        <v>23</v>
      </c>
      <c r="N122" s="150">
        <f>K131/(N121*(N123-N124))</f>
        <v>-0.14977752380952383</v>
      </c>
      <c r="O122" s="150"/>
      <c r="P122" s="150"/>
      <c r="Q122" s="149"/>
    </row>
    <row r="123" spans="1:17">
      <c r="A123" s="10" t="s">
        <v>96</v>
      </c>
      <c r="B123" s="68">
        <v>30</v>
      </c>
      <c r="C123" s="64">
        <v>1.35</v>
      </c>
      <c r="D123" s="64">
        <v>3.2</v>
      </c>
      <c r="E123" s="55">
        <f>C123*D123</f>
        <v>4.32</v>
      </c>
      <c r="F123" s="71">
        <v>1</v>
      </c>
      <c r="G123" s="68">
        <f>0.8*2</f>
        <v>1.6</v>
      </c>
      <c r="H123" s="55">
        <f t="shared" ref="H123:H129" si="62">(E123-(F123*G123))</f>
        <v>2.72</v>
      </c>
      <c r="I123" s="64">
        <v>1.7210000000000001</v>
      </c>
      <c r="J123" s="64">
        <v>0</v>
      </c>
      <c r="K123" s="55">
        <f t="shared" ref="K123:K129" si="63">J123*I123</f>
        <v>0</v>
      </c>
      <c r="L123" s="47">
        <f t="shared" ref="L123:L129" si="64">H123*I123*J123</f>
        <v>0</v>
      </c>
      <c r="M123" s="46" t="s">
        <v>76</v>
      </c>
      <c r="N123" s="151">
        <v>15</v>
      </c>
      <c r="O123" s="151"/>
      <c r="P123" s="151"/>
      <c r="Q123" s="149"/>
    </row>
    <row r="124" spans="1:17">
      <c r="A124" s="10" t="s">
        <v>81</v>
      </c>
      <c r="B124" s="68">
        <v>10</v>
      </c>
      <c r="C124" s="64">
        <v>1.1000000000000001</v>
      </c>
      <c r="D124" s="64">
        <v>3.2</v>
      </c>
      <c r="E124" s="55">
        <f>C124*D124</f>
        <v>3.5200000000000005</v>
      </c>
      <c r="F124" s="71">
        <v>1</v>
      </c>
      <c r="G124" s="68">
        <f>0.8*2</f>
        <v>1.6</v>
      </c>
      <c r="H124" s="55">
        <f t="shared" si="62"/>
        <v>1.9200000000000004</v>
      </c>
      <c r="I124" s="64">
        <v>2.87</v>
      </c>
      <c r="J124" s="64">
        <v>-5</v>
      </c>
      <c r="K124" s="55">
        <f t="shared" si="63"/>
        <v>-14.350000000000001</v>
      </c>
      <c r="L124" s="47">
        <f t="shared" si="64"/>
        <v>-27.552000000000007</v>
      </c>
      <c r="M124" s="46" t="s">
        <v>77</v>
      </c>
      <c r="N124" s="151">
        <v>-15</v>
      </c>
      <c r="O124" s="151"/>
      <c r="P124" s="151"/>
      <c r="Q124" s="149"/>
    </row>
    <row r="125" spans="1:17">
      <c r="A125" s="10" t="s">
        <v>100</v>
      </c>
      <c r="B125" s="68"/>
      <c r="C125" s="64">
        <v>0.6</v>
      </c>
      <c r="D125" s="64">
        <v>2</v>
      </c>
      <c r="E125" s="55">
        <f>C125*D125</f>
        <v>1.2</v>
      </c>
      <c r="F125" s="71"/>
      <c r="G125" s="68"/>
      <c r="H125" s="55">
        <f t="shared" si="62"/>
        <v>1.2</v>
      </c>
      <c r="I125" s="64">
        <v>2</v>
      </c>
      <c r="J125" s="64">
        <v>-5</v>
      </c>
      <c r="K125" s="55">
        <f t="shared" si="63"/>
        <v>-10</v>
      </c>
      <c r="L125" s="47">
        <f t="shared" si="64"/>
        <v>-12</v>
      </c>
      <c r="M125" s="76"/>
      <c r="N125" s="96"/>
      <c r="O125" s="96"/>
      <c r="P125" s="97"/>
      <c r="Q125" s="149"/>
    </row>
    <row r="126" spans="1:17">
      <c r="A126" s="10" t="s">
        <v>94</v>
      </c>
      <c r="B126" s="68"/>
      <c r="C126" s="64">
        <v>0.8</v>
      </c>
      <c r="D126" s="64">
        <v>2</v>
      </c>
      <c r="E126" s="55">
        <f>C126*D126*2</f>
        <v>3.2</v>
      </c>
      <c r="F126" s="71"/>
      <c r="G126" s="68"/>
      <c r="H126" s="55">
        <f t="shared" si="62"/>
        <v>3.2</v>
      </c>
      <c r="I126" s="64">
        <v>2</v>
      </c>
      <c r="J126" s="64">
        <v>0</v>
      </c>
      <c r="K126" s="55">
        <f t="shared" si="63"/>
        <v>0</v>
      </c>
      <c r="L126" s="47">
        <f t="shared" si="64"/>
        <v>0</v>
      </c>
      <c r="M126" s="96"/>
      <c r="N126" s="96"/>
      <c r="O126" s="96"/>
      <c r="P126" s="97"/>
      <c r="Q126" s="149"/>
    </row>
    <row r="127" spans="1:17">
      <c r="A127" s="86" t="s">
        <v>94</v>
      </c>
      <c r="B127" s="87"/>
      <c r="C127" s="88">
        <v>0.8</v>
      </c>
      <c r="D127" s="88">
        <v>2</v>
      </c>
      <c r="E127" s="55">
        <f>C127*D127*2</f>
        <v>3.2</v>
      </c>
      <c r="F127" s="89"/>
      <c r="G127" s="87"/>
      <c r="H127" s="55">
        <f t="shared" si="62"/>
        <v>3.2</v>
      </c>
      <c r="I127" s="64">
        <v>2</v>
      </c>
      <c r="J127" s="64">
        <v>-5</v>
      </c>
      <c r="K127" s="55">
        <f t="shared" si="63"/>
        <v>-10</v>
      </c>
      <c r="L127" s="47">
        <f t="shared" si="64"/>
        <v>-32</v>
      </c>
      <c r="M127" s="96"/>
      <c r="N127" s="96"/>
      <c r="O127" s="96"/>
      <c r="P127" s="97"/>
      <c r="Q127" s="149"/>
    </row>
    <row r="128" spans="1:17">
      <c r="A128" s="86" t="s">
        <v>86</v>
      </c>
      <c r="B128" s="87">
        <v>58</v>
      </c>
      <c r="C128" s="88">
        <v>1.35</v>
      </c>
      <c r="D128" s="88">
        <v>1.1000000000000001</v>
      </c>
      <c r="E128" s="55">
        <f>D128*C128</f>
        <v>1.4850000000000003</v>
      </c>
      <c r="F128" s="89"/>
      <c r="G128" s="87"/>
      <c r="H128" s="55">
        <f t="shared" si="62"/>
        <v>1.4850000000000003</v>
      </c>
      <c r="I128" s="64">
        <v>0.88300000000000001</v>
      </c>
      <c r="J128" s="64">
        <v>30</v>
      </c>
      <c r="K128" s="55">
        <f t="shared" si="63"/>
        <v>26.490000000000002</v>
      </c>
      <c r="L128" s="47">
        <f t="shared" si="64"/>
        <v>39.337650000000011</v>
      </c>
      <c r="M128" s="52"/>
      <c r="N128" s="53"/>
      <c r="O128" s="53"/>
      <c r="P128" s="54"/>
      <c r="Q128" s="149"/>
    </row>
    <row r="129" spans="1:17">
      <c r="A129" s="86" t="s">
        <v>87</v>
      </c>
      <c r="B129" s="87"/>
      <c r="C129" s="88">
        <v>1.35</v>
      </c>
      <c r="D129" s="88">
        <v>1.1000000000000001</v>
      </c>
      <c r="E129" s="55">
        <f>E128</f>
        <v>1.4850000000000003</v>
      </c>
      <c r="F129" s="89"/>
      <c r="G129" s="87"/>
      <c r="H129" s="55">
        <f t="shared" si="62"/>
        <v>1.4850000000000003</v>
      </c>
      <c r="I129" s="64">
        <v>1.286</v>
      </c>
      <c r="J129" s="64">
        <v>5</v>
      </c>
      <c r="K129" s="55">
        <f t="shared" si="63"/>
        <v>6.43</v>
      </c>
      <c r="L129" s="47">
        <f t="shared" si="64"/>
        <v>9.5485500000000023</v>
      </c>
      <c r="M129" s="52"/>
      <c r="N129" s="53"/>
      <c r="O129" s="53"/>
      <c r="P129" s="54"/>
      <c r="Q129" s="149"/>
    </row>
    <row r="130" spans="1:17" ht="13.5" thickBot="1">
      <c r="A130" s="42"/>
      <c r="B130" s="93"/>
      <c r="C130" s="94"/>
      <c r="D130" s="94"/>
      <c r="E130" s="90">
        <f>SUM(E121:E129)</f>
        <v>26.249999999999996</v>
      </c>
      <c r="F130" s="95"/>
      <c r="G130" s="93"/>
      <c r="H130" s="94"/>
      <c r="I130" s="94"/>
      <c r="J130" s="94"/>
      <c r="K130" s="94"/>
      <c r="L130" s="44"/>
      <c r="M130" s="50"/>
      <c r="N130" s="56"/>
      <c r="O130" s="56"/>
      <c r="P130" s="51"/>
      <c r="Q130" s="149"/>
    </row>
    <row r="131" spans="1:17" ht="14.25" thickTop="1" thickBot="1">
      <c r="A131" s="25"/>
      <c r="B131" s="152" t="s">
        <v>17</v>
      </c>
      <c r="C131" s="147"/>
      <c r="D131" s="147"/>
      <c r="E131" s="147"/>
      <c r="F131" s="153"/>
      <c r="G131" s="72"/>
      <c r="H131" s="73"/>
      <c r="I131" s="74"/>
      <c r="J131" s="57" t="s">
        <v>21</v>
      </c>
      <c r="K131" s="147">
        <f>SUM(L121:L130)</f>
        <v>-117.9498</v>
      </c>
      <c r="L131" s="153"/>
      <c r="M131" s="46">
        <f>0.15*N122</f>
        <v>-2.2466628571428574E-2</v>
      </c>
      <c r="N131" s="55">
        <v>0</v>
      </c>
      <c r="O131" s="45">
        <v>0</v>
      </c>
      <c r="P131" s="55">
        <f>1+O131+N131+M131</f>
        <v>0.97753337142857144</v>
      </c>
      <c r="Q131" s="62"/>
    </row>
    <row r="132" spans="1:17">
      <c r="A132" s="15"/>
      <c r="B132" s="33"/>
      <c r="C132" s="76" t="s">
        <v>89</v>
      </c>
      <c r="D132" s="22">
        <v>1.9000000000000001E-4</v>
      </c>
      <c r="E132" s="22" t="s">
        <v>27</v>
      </c>
      <c r="F132" s="34">
        <v>16</v>
      </c>
      <c r="G132" s="49" t="s">
        <v>25</v>
      </c>
      <c r="H132" s="137">
        <f>(0.5*H120)/3600</f>
        <v>6.6000000000000021E-4</v>
      </c>
      <c r="I132" s="138"/>
      <c r="J132" s="22"/>
      <c r="K132" s="22"/>
      <c r="L132" s="34"/>
      <c r="M132" s="22"/>
      <c r="N132" s="22"/>
      <c r="O132" s="22"/>
      <c r="P132" s="22" t="s">
        <v>24</v>
      </c>
      <c r="Q132" s="23">
        <f>K131*P131</f>
        <v>-115.29986565332571</v>
      </c>
    </row>
    <row r="133" spans="1:17" ht="13.5" thickBot="1">
      <c r="A133" s="15"/>
      <c r="B133" s="33"/>
      <c r="C133" s="76" t="s">
        <v>88</v>
      </c>
      <c r="D133" s="66">
        <v>0</v>
      </c>
      <c r="E133" s="22" t="s">
        <v>28</v>
      </c>
      <c r="F133" s="34">
        <v>0.7</v>
      </c>
      <c r="G133" s="35" t="s">
        <v>26</v>
      </c>
      <c r="H133" s="139">
        <f>((D132*D133)*F132*F133)</f>
        <v>0</v>
      </c>
      <c r="I133" s="140"/>
      <c r="J133" s="22"/>
      <c r="K133" s="22"/>
      <c r="L133" s="34"/>
      <c r="M133" s="22"/>
      <c r="N133" s="22"/>
      <c r="O133" s="22"/>
      <c r="P133" s="22" t="s">
        <v>29</v>
      </c>
      <c r="Q133" s="23">
        <f>1300*(H134*(N123-(N124)))</f>
        <v>25.740000000000006</v>
      </c>
    </row>
    <row r="134" spans="1:17" ht="13.5" thickBot="1">
      <c r="A134" s="25"/>
      <c r="B134" s="36"/>
      <c r="C134" s="26"/>
      <c r="D134" s="75"/>
      <c r="E134" s="75"/>
      <c r="F134" s="40"/>
      <c r="G134" s="41" t="s">
        <v>18</v>
      </c>
      <c r="H134" s="141">
        <f>MAX(H132,H133)</f>
        <v>6.6000000000000021E-4</v>
      </c>
      <c r="I134" s="142"/>
      <c r="J134" s="75"/>
      <c r="K134" s="75"/>
      <c r="L134" s="40"/>
      <c r="M134" s="75"/>
      <c r="N134" s="75"/>
      <c r="O134" s="75"/>
      <c r="P134" s="91" t="s">
        <v>90</v>
      </c>
      <c r="Q134" s="100">
        <f>SUM(Q132:Q133)</f>
        <v>-89.559865653325701</v>
      </c>
    </row>
    <row r="135" spans="1:17" ht="13.5" thickBot="1">
      <c r="A135" s="76"/>
      <c r="B135" s="76"/>
      <c r="C135" s="76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7"/>
    </row>
    <row r="136" spans="1:17" ht="13.5" thickBot="1">
      <c r="A136" s="19"/>
      <c r="B136" s="143" t="s">
        <v>107</v>
      </c>
      <c r="C136" s="144"/>
      <c r="D136" s="144"/>
      <c r="E136" s="144"/>
      <c r="F136" s="145"/>
      <c r="G136" s="60" t="s">
        <v>19</v>
      </c>
      <c r="H136" s="146">
        <f>(2.3*1.9+0.95*1.2)*3.2</f>
        <v>17.631999999999998</v>
      </c>
      <c r="I136" s="146"/>
      <c r="J136" s="59" t="s">
        <v>20</v>
      </c>
      <c r="K136" s="59"/>
      <c r="L136" s="61"/>
      <c r="M136" s="59"/>
      <c r="N136" s="59"/>
      <c r="O136" s="59"/>
      <c r="P136" s="59"/>
      <c r="Q136" s="24"/>
    </row>
    <row r="137" spans="1:17">
      <c r="A137" s="16" t="s">
        <v>30</v>
      </c>
      <c r="B137" s="67">
        <v>45</v>
      </c>
      <c r="C137" s="77">
        <v>2.2999999999999998</v>
      </c>
      <c r="D137" s="77">
        <v>3.2</v>
      </c>
      <c r="E137" s="84">
        <f t="shared" ref="E137:E138" si="65">C137*D137</f>
        <v>7.3599999999999994</v>
      </c>
      <c r="F137" s="70">
        <v>2</v>
      </c>
      <c r="G137" s="67">
        <f>0.6*0.9</f>
        <v>0.54</v>
      </c>
      <c r="H137" s="84">
        <f>(E137-(F137*G137))</f>
        <v>6.2799999999999994</v>
      </c>
      <c r="I137" s="77">
        <v>1.304</v>
      </c>
      <c r="J137" s="77">
        <v>35</v>
      </c>
      <c r="K137" s="84">
        <f t="shared" ref="K137:K145" si="66">J137*I137</f>
        <v>45.64</v>
      </c>
      <c r="L137" s="85">
        <f t="shared" ref="L137:L145" si="67">H137*I137*J137</f>
        <v>286.61919999999998</v>
      </c>
      <c r="M137" s="17" t="s">
        <v>22</v>
      </c>
      <c r="N137" s="147">
        <f>E146</f>
        <v>48.579999999999991</v>
      </c>
      <c r="O137" s="147"/>
      <c r="P137" s="147"/>
      <c r="Q137" s="148"/>
    </row>
    <row r="138" spans="1:17">
      <c r="A138" s="10" t="s">
        <v>92</v>
      </c>
      <c r="B138" s="68">
        <v>10</v>
      </c>
      <c r="C138" s="64">
        <v>3.1</v>
      </c>
      <c r="D138" s="64">
        <v>3.2</v>
      </c>
      <c r="E138" s="83">
        <f t="shared" si="65"/>
        <v>9.9200000000000017</v>
      </c>
      <c r="F138" s="71"/>
      <c r="G138" s="68"/>
      <c r="H138" s="83">
        <f t="shared" ref="H138:H145" si="68">(E138-(F138*G138))</f>
        <v>9.9200000000000017</v>
      </c>
      <c r="I138" s="64">
        <v>2.87</v>
      </c>
      <c r="J138" s="64">
        <v>0</v>
      </c>
      <c r="K138" s="83">
        <f t="shared" si="66"/>
        <v>0</v>
      </c>
      <c r="L138" s="47">
        <f t="shared" si="67"/>
        <v>0</v>
      </c>
      <c r="M138" s="46" t="s">
        <v>23</v>
      </c>
      <c r="N138" s="150">
        <f>K147/(N137*(N139-N140))</f>
        <v>0.36707678056813514</v>
      </c>
      <c r="O138" s="150"/>
      <c r="P138" s="150"/>
      <c r="Q138" s="149"/>
    </row>
    <row r="139" spans="1:17">
      <c r="A139" s="10" t="s">
        <v>96</v>
      </c>
      <c r="B139" s="68">
        <v>10</v>
      </c>
      <c r="C139" s="64">
        <v>0.95</v>
      </c>
      <c r="D139" s="64">
        <v>3.2</v>
      </c>
      <c r="E139" s="83">
        <f>C139*D139</f>
        <v>3.04</v>
      </c>
      <c r="F139" s="71">
        <v>1</v>
      </c>
      <c r="G139" s="68">
        <f>0.6*2</f>
        <v>1.2</v>
      </c>
      <c r="H139" s="83">
        <f t="shared" si="68"/>
        <v>1.84</v>
      </c>
      <c r="I139" s="64">
        <v>2.87</v>
      </c>
      <c r="J139" s="64">
        <v>5</v>
      </c>
      <c r="K139" s="83">
        <f t="shared" si="66"/>
        <v>14.350000000000001</v>
      </c>
      <c r="L139" s="47">
        <f t="shared" si="67"/>
        <v>26.404</v>
      </c>
      <c r="M139" s="46" t="s">
        <v>76</v>
      </c>
      <c r="N139" s="151">
        <v>20</v>
      </c>
      <c r="O139" s="151"/>
      <c r="P139" s="151"/>
      <c r="Q139" s="149"/>
    </row>
    <row r="140" spans="1:17">
      <c r="A140" s="10" t="s">
        <v>81</v>
      </c>
      <c r="B140" s="68">
        <v>10</v>
      </c>
      <c r="C140" s="64">
        <f>1.2+1.2</f>
        <v>2.4</v>
      </c>
      <c r="D140" s="64">
        <v>3.2</v>
      </c>
      <c r="E140" s="83">
        <f>C140*D140</f>
        <v>7.68</v>
      </c>
      <c r="F140" s="71"/>
      <c r="G140" s="68"/>
      <c r="H140" s="83">
        <f t="shared" si="68"/>
        <v>7.68</v>
      </c>
      <c r="I140" s="64">
        <v>2.87</v>
      </c>
      <c r="J140" s="64">
        <v>0</v>
      </c>
      <c r="K140" s="83">
        <f t="shared" si="66"/>
        <v>0</v>
      </c>
      <c r="L140" s="47">
        <f t="shared" si="67"/>
        <v>0</v>
      </c>
      <c r="M140" s="46" t="s">
        <v>77</v>
      </c>
      <c r="N140" s="151">
        <v>-15</v>
      </c>
      <c r="O140" s="151"/>
      <c r="P140" s="151"/>
      <c r="Q140" s="149"/>
    </row>
    <row r="141" spans="1:17">
      <c r="A141" s="10" t="s">
        <v>108</v>
      </c>
      <c r="B141" s="68">
        <v>10</v>
      </c>
      <c r="C141" s="64">
        <v>1.9</v>
      </c>
      <c r="D141" s="64">
        <v>3.2</v>
      </c>
      <c r="E141" s="83">
        <f>C141*D141</f>
        <v>6.08</v>
      </c>
      <c r="F141" s="71"/>
      <c r="G141" s="68"/>
      <c r="H141" s="83">
        <f t="shared" ref="H141" si="69">(E141-(F141*G141))</f>
        <v>6.08</v>
      </c>
      <c r="I141" s="64">
        <v>2.87</v>
      </c>
      <c r="J141" s="64">
        <v>-4</v>
      </c>
      <c r="K141" s="83">
        <f t="shared" ref="K141" si="70">J141*I141</f>
        <v>-11.48</v>
      </c>
      <c r="L141" s="47">
        <f t="shared" ref="L141" si="71">H141*I141*J141</f>
        <v>-69.798400000000001</v>
      </c>
      <c r="M141" s="96"/>
      <c r="N141" s="96"/>
      <c r="O141" s="96"/>
      <c r="P141" s="97"/>
      <c r="Q141" s="149"/>
    </row>
    <row r="142" spans="1:17">
      <c r="A142" s="10" t="s">
        <v>103</v>
      </c>
      <c r="B142" s="68"/>
      <c r="C142" s="64">
        <v>0.6</v>
      </c>
      <c r="D142" s="64">
        <v>0.9</v>
      </c>
      <c r="E142" s="83">
        <f>C142*D142*2</f>
        <v>1.08</v>
      </c>
      <c r="F142" s="71"/>
      <c r="G142" s="68"/>
      <c r="H142" s="83">
        <f t="shared" si="68"/>
        <v>1.08</v>
      </c>
      <c r="I142" s="64">
        <v>4</v>
      </c>
      <c r="J142" s="64">
        <v>35</v>
      </c>
      <c r="K142" s="83">
        <f t="shared" si="66"/>
        <v>140</v>
      </c>
      <c r="L142" s="47">
        <f t="shared" si="67"/>
        <v>151.20000000000002</v>
      </c>
      <c r="M142" s="79"/>
      <c r="N142" s="96"/>
      <c r="O142" s="96"/>
      <c r="P142" s="97"/>
      <c r="Q142" s="149"/>
    </row>
    <row r="143" spans="1:17">
      <c r="A143" s="10" t="s">
        <v>100</v>
      </c>
      <c r="B143" s="68"/>
      <c r="C143" s="64">
        <v>0.6</v>
      </c>
      <c r="D143" s="64">
        <v>2</v>
      </c>
      <c r="E143" s="83">
        <f>C143*D143*2</f>
        <v>2.4</v>
      </c>
      <c r="F143" s="71"/>
      <c r="G143" s="68"/>
      <c r="H143" s="83">
        <f t="shared" si="68"/>
        <v>2.4</v>
      </c>
      <c r="I143" s="64">
        <v>2</v>
      </c>
      <c r="J143" s="64">
        <v>5</v>
      </c>
      <c r="K143" s="83">
        <f t="shared" si="66"/>
        <v>10</v>
      </c>
      <c r="L143" s="47">
        <f t="shared" si="67"/>
        <v>24</v>
      </c>
      <c r="M143" s="96"/>
      <c r="N143" s="96"/>
      <c r="O143" s="96"/>
      <c r="P143" s="97"/>
      <c r="Q143" s="149"/>
    </row>
    <row r="144" spans="1:17">
      <c r="A144" s="86" t="s">
        <v>86</v>
      </c>
      <c r="B144" s="87">
        <v>58</v>
      </c>
      <c r="C144" s="88"/>
      <c r="D144" s="88"/>
      <c r="E144" s="83">
        <f>(2.3*1.9+0.95*1.2)</f>
        <v>5.5099999999999989</v>
      </c>
      <c r="F144" s="89"/>
      <c r="G144" s="87"/>
      <c r="H144" s="83">
        <f t="shared" si="68"/>
        <v>5.5099999999999989</v>
      </c>
      <c r="I144" s="64">
        <v>0.88300000000000001</v>
      </c>
      <c r="J144" s="64">
        <v>35</v>
      </c>
      <c r="K144" s="83">
        <f t="shared" si="66"/>
        <v>30.905000000000001</v>
      </c>
      <c r="L144" s="47">
        <f t="shared" si="67"/>
        <v>170.28654999999998</v>
      </c>
      <c r="M144" s="52"/>
      <c r="N144" s="53"/>
      <c r="O144" s="53"/>
      <c r="P144" s="54"/>
      <c r="Q144" s="149"/>
    </row>
    <row r="145" spans="1:17">
      <c r="A145" s="86" t="s">
        <v>87</v>
      </c>
      <c r="B145" s="87"/>
      <c r="C145" s="88"/>
      <c r="D145" s="88"/>
      <c r="E145" s="83">
        <f>E144</f>
        <v>5.5099999999999989</v>
      </c>
      <c r="F145" s="89"/>
      <c r="G145" s="87"/>
      <c r="H145" s="83">
        <f t="shared" si="68"/>
        <v>5.5099999999999989</v>
      </c>
      <c r="I145" s="64">
        <v>1.286</v>
      </c>
      <c r="J145" s="64">
        <v>5</v>
      </c>
      <c r="K145" s="83">
        <f t="shared" si="66"/>
        <v>6.43</v>
      </c>
      <c r="L145" s="47">
        <f t="shared" si="67"/>
        <v>35.429299999999991</v>
      </c>
      <c r="M145" s="52"/>
      <c r="N145" s="53"/>
      <c r="O145" s="53"/>
      <c r="P145" s="54"/>
      <c r="Q145" s="149"/>
    </row>
    <row r="146" spans="1:17" ht="13.5" thickBot="1">
      <c r="A146" s="42"/>
      <c r="B146" s="93"/>
      <c r="C146" s="94"/>
      <c r="D146" s="94"/>
      <c r="E146" s="90">
        <f>SUM(E137:E145)</f>
        <v>48.579999999999991</v>
      </c>
      <c r="F146" s="95"/>
      <c r="G146" s="93"/>
      <c r="H146" s="94"/>
      <c r="I146" s="94"/>
      <c r="J146" s="94"/>
      <c r="K146" s="94"/>
      <c r="L146" s="44"/>
      <c r="M146" s="50"/>
      <c r="N146" s="80"/>
      <c r="O146" s="80"/>
      <c r="P146" s="51"/>
      <c r="Q146" s="149"/>
    </row>
    <row r="147" spans="1:17" ht="14.25" thickTop="1" thickBot="1">
      <c r="A147" s="25"/>
      <c r="B147" s="152" t="s">
        <v>17</v>
      </c>
      <c r="C147" s="147"/>
      <c r="D147" s="147"/>
      <c r="E147" s="147"/>
      <c r="F147" s="153"/>
      <c r="G147" s="72"/>
      <c r="H147" s="73"/>
      <c r="I147" s="74"/>
      <c r="J147" s="84" t="s">
        <v>21</v>
      </c>
      <c r="K147" s="147">
        <f>SUM(L137:L146)</f>
        <v>624.14065000000005</v>
      </c>
      <c r="L147" s="153"/>
      <c r="M147" s="46">
        <f>0.15*N138</f>
        <v>5.5061517085220273E-2</v>
      </c>
      <c r="N147" s="83">
        <v>0</v>
      </c>
      <c r="O147" s="45">
        <v>0.05</v>
      </c>
      <c r="P147" s="83">
        <f>1+O147+N147+M147</f>
        <v>1.1050615170852203</v>
      </c>
      <c r="Q147" s="82"/>
    </row>
    <row r="148" spans="1:17">
      <c r="A148" s="15"/>
      <c r="B148" s="33"/>
      <c r="C148" s="79" t="s">
        <v>89</v>
      </c>
      <c r="D148" s="22">
        <v>1.9000000000000001E-4</v>
      </c>
      <c r="E148" s="22" t="s">
        <v>27</v>
      </c>
      <c r="F148" s="34">
        <v>16</v>
      </c>
      <c r="G148" s="49" t="s">
        <v>25</v>
      </c>
      <c r="H148" s="137">
        <f>(0.5*H136)/3600</f>
        <v>2.4488888888888885E-3</v>
      </c>
      <c r="I148" s="138"/>
      <c r="J148" s="22"/>
      <c r="K148" s="22"/>
      <c r="L148" s="34"/>
      <c r="M148" s="22"/>
      <c r="N148" s="22"/>
      <c r="O148" s="22"/>
      <c r="P148" s="22" t="s">
        <v>24</v>
      </c>
      <c r="Q148" s="23">
        <f>K147*P147</f>
        <v>689.7138135635555</v>
      </c>
    </row>
    <row r="149" spans="1:17" ht="13.5" thickBot="1">
      <c r="A149" s="15"/>
      <c r="B149" s="33"/>
      <c r="C149" s="79" t="s">
        <v>88</v>
      </c>
      <c r="D149" s="66">
        <f>((0.6+0.9)*2)*2</f>
        <v>6</v>
      </c>
      <c r="E149" s="22" t="s">
        <v>28</v>
      </c>
      <c r="F149" s="34">
        <v>0.7</v>
      </c>
      <c r="G149" s="35" t="s">
        <v>26</v>
      </c>
      <c r="H149" s="139">
        <f>((D148*D149)*F148*F149)</f>
        <v>1.2767999999999998E-2</v>
      </c>
      <c r="I149" s="140"/>
      <c r="J149" s="22"/>
      <c r="K149" s="22"/>
      <c r="L149" s="34"/>
      <c r="M149" s="22"/>
      <c r="N149" s="22"/>
      <c r="O149" s="22"/>
      <c r="P149" s="22" t="s">
        <v>29</v>
      </c>
      <c r="Q149" s="23">
        <f>1300*(H150*(N139-(N140)))</f>
        <v>580.94399999999996</v>
      </c>
    </row>
    <row r="150" spans="1:17" ht="13.5" thickBot="1">
      <c r="A150" s="25"/>
      <c r="B150" s="36"/>
      <c r="C150" s="26"/>
      <c r="D150" s="78"/>
      <c r="E150" s="78"/>
      <c r="F150" s="40"/>
      <c r="G150" s="41" t="s">
        <v>18</v>
      </c>
      <c r="H150" s="141">
        <f>MAX(H148,H149)</f>
        <v>1.2767999999999998E-2</v>
      </c>
      <c r="I150" s="142"/>
      <c r="J150" s="78"/>
      <c r="K150" s="78"/>
      <c r="L150" s="40"/>
      <c r="M150" s="78"/>
      <c r="N150" s="78"/>
      <c r="O150" s="78"/>
      <c r="P150" s="91" t="s">
        <v>90</v>
      </c>
      <c r="Q150" s="100">
        <f>SUM(Q148:Q149)</f>
        <v>1270.6578135635555</v>
      </c>
    </row>
    <row r="151" spans="1:17" ht="13.5" thickBot="1">
      <c r="A151" s="76"/>
      <c r="B151" s="76"/>
      <c r="C151" s="76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7"/>
    </row>
    <row r="152" spans="1:17" ht="13.5" thickBot="1">
      <c r="A152" s="19"/>
      <c r="B152" s="143" t="s">
        <v>109</v>
      </c>
      <c r="C152" s="144"/>
      <c r="D152" s="144"/>
      <c r="E152" s="144"/>
      <c r="F152" s="145"/>
      <c r="G152" s="60" t="s">
        <v>19</v>
      </c>
      <c r="H152" s="146">
        <f>1.9*3.95*3.2</f>
        <v>24.016000000000002</v>
      </c>
      <c r="I152" s="146"/>
      <c r="J152" s="59" t="s">
        <v>20</v>
      </c>
      <c r="K152" s="59"/>
      <c r="L152" s="61"/>
      <c r="M152" s="59"/>
      <c r="N152" s="59"/>
      <c r="O152" s="59"/>
      <c r="P152" s="59"/>
      <c r="Q152" s="24"/>
    </row>
    <row r="153" spans="1:17">
      <c r="A153" s="16" t="s">
        <v>30</v>
      </c>
      <c r="B153" s="67">
        <v>45</v>
      </c>
      <c r="C153" s="77">
        <v>3.95</v>
      </c>
      <c r="D153" s="77">
        <v>3.2</v>
      </c>
      <c r="E153" s="84">
        <f t="shared" ref="E153:E154" si="72">C153*D153</f>
        <v>12.64</v>
      </c>
      <c r="F153" s="70">
        <v>2</v>
      </c>
      <c r="G153" s="67">
        <f>0.6*0.9</f>
        <v>0.54</v>
      </c>
      <c r="H153" s="84">
        <f>(E153-(F153*G153))</f>
        <v>11.56</v>
      </c>
      <c r="I153" s="77">
        <v>1.304</v>
      </c>
      <c r="J153" s="77">
        <v>39</v>
      </c>
      <c r="K153" s="84">
        <f t="shared" ref="K153:K160" si="73">J153*I153</f>
        <v>50.856000000000002</v>
      </c>
      <c r="L153" s="85">
        <f t="shared" ref="L153:L160" si="74">H153*I153*J153</f>
        <v>587.8953600000001</v>
      </c>
      <c r="M153" s="17" t="s">
        <v>22</v>
      </c>
      <c r="N153" s="147">
        <f>E161</f>
        <v>55.13</v>
      </c>
      <c r="O153" s="147"/>
      <c r="P153" s="147"/>
      <c r="Q153" s="148"/>
    </row>
    <row r="154" spans="1:17">
      <c r="A154" s="10" t="s">
        <v>92</v>
      </c>
      <c r="B154" s="68">
        <v>10</v>
      </c>
      <c r="C154" s="64">
        <v>1.9</v>
      </c>
      <c r="D154" s="64">
        <v>3.2</v>
      </c>
      <c r="E154" s="83">
        <f t="shared" si="72"/>
        <v>6.08</v>
      </c>
      <c r="F154" s="71"/>
      <c r="G154" s="68"/>
      <c r="H154" s="83">
        <f t="shared" ref="H154:H160" si="75">(E154-(F154*G154))</f>
        <v>6.08</v>
      </c>
      <c r="I154" s="64">
        <v>2.87</v>
      </c>
      <c r="J154" s="64">
        <v>4</v>
      </c>
      <c r="K154" s="83">
        <f t="shared" si="73"/>
        <v>11.48</v>
      </c>
      <c r="L154" s="47">
        <f t="shared" si="74"/>
        <v>69.798400000000001</v>
      </c>
      <c r="M154" s="46" t="s">
        <v>23</v>
      </c>
      <c r="N154" s="150">
        <f>K162/(N153*(N155-N156))</f>
        <v>0.73932695912226121</v>
      </c>
      <c r="O154" s="150"/>
      <c r="P154" s="150"/>
      <c r="Q154" s="149"/>
    </row>
    <row r="155" spans="1:17">
      <c r="A155" s="10" t="s">
        <v>96</v>
      </c>
      <c r="B155" s="68">
        <v>10</v>
      </c>
      <c r="C155" s="64">
        <v>3.95</v>
      </c>
      <c r="D155" s="64">
        <v>3.2</v>
      </c>
      <c r="E155" s="83">
        <f>C155*D155</f>
        <v>12.64</v>
      </c>
      <c r="F155" s="71"/>
      <c r="G155" s="68"/>
      <c r="H155" s="83">
        <f t="shared" si="75"/>
        <v>12.64</v>
      </c>
      <c r="I155" s="64">
        <v>2.87</v>
      </c>
      <c r="J155" s="64">
        <v>4</v>
      </c>
      <c r="K155" s="83">
        <f t="shared" si="73"/>
        <v>11.48</v>
      </c>
      <c r="L155" s="47">
        <f t="shared" si="74"/>
        <v>145.10720000000001</v>
      </c>
      <c r="M155" s="46" t="s">
        <v>76</v>
      </c>
      <c r="N155" s="151">
        <v>24</v>
      </c>
      <c r="O155" s="151"/>
      <c r="P155" s="151"/>
      <c r="Q155" s="149"/>
    </row>
    <row r="156" spans="1:17">
      <c r="A156" s="10" t="s">
        <v>110</v>
      </c>
      <c r="B156" s="68">
        <v>45</v>
      </c>
      <c r="C156" s="64">
        <v>1.9</v>
      </c>
      <c r="D156" s="64">
        <v>3.2</v>
      </c>
      <c r="E156" s="83">
        <f>C156*D156</f>
        <v>6.08</v>
      </c>
      <c r="F156" s="71"/>
      <c r="G156" s="68"/>
      <c r="H156" s="83">
        <f t="shared" si="75"/>
        <v>6.08</v>
      </c>
      <c r="I156" s="64">
        <v>1.304</v>
      </c>
      <c r="J156" s="64">
        <v>35</v>
      </c>
      <c r="K156" s="83">
        <f t="shared" si="73"/>
        <v>45.64</v>
      </c>
      <c r="L156" s="47">
        <f t="shared" si="74"/>
        <v>277.49119999999999</v>
      </c>
      <c r="M156" s="46" t="s">
        <v>77</v>
      </c>
      <c r="N156" s="151">
        <v>-15</v>
      </c>
      <c r="O156" s="151"/>
      <c r="P156" s="151"/>
      <c r="Q156" s="149"/>
    </row>
    <row r="157" spans="1:17">
      <c r="A157" s="10" t="s">
        <v>103</v>
      </c>
      <c r="B157" s="68"/>
      <c r="C157" s="64">
        <v>0.6</v>
      </c>
      <c r="D157" s="64">
        <v>0.9</v>
      </c>
      <c r="E157" s="83">
        <f>C157*D157*2</f>
        <v>1.08</v>
      </c>
      <c r="F157" s="71"/>
      <c r="G157" s="68"/>
      <c r="H157" s="83">
        <f t="shared" si="75"/>
        <v>1.08</v>
      </c>
      <c r="I157" s="64">
        <v>4</v>
      </c>
      <c r="J157" s="64">
        <v>35</v>
      </c>
      <c r="K157" s="83">
        <f t="shared" si="73"/>
        <v>140</v>
      </c>
      <c r="L157" s="47">
        <f t="shared" si="74"/>
        <v>151.20000000000002</v>
      </c>
      <c r="M157" s="79"/>
      <c r="N157" s="96"/>
      <c r="O157" s="96"/>
      <c r="P157" s="97"/>
      <c r="Q157" s="149"/>
    </row>
    <row r="158" spans="1:17">
      <c r="A158" s="10" t="s">
        <v>94</v>
      </c>
      <c r="B158" s="68"/>
      <c r="C158" s="64">
        <v>0.8</v>
      </c>
      <c r="D158" s="64">
        <v>2</v>
      </c>
      <c r="E158" s="83">
        <f>C158*D158</f>
        <v>1.6</v>
      </c>
      <c r="F158" s="71"/>
      <c r="G158" s="68"/>
      <c r="H158" s="83">
        <f t="shared" si="75"/>
        <v>1.6</v>
      </c>
      <c r="I158" s="64">
        <v>2</v>
      </c>
      <c r="J158" s="64">
        <v>4</v>
      </c>
      <c r="K158" s="83">
        <f t="shared" si="73"/>
        <v>8</v>
      </c>
      <c r="L158" s="47">
        <f t="shared" si="74"/>
        <v>12.8</v>
      </c>
      <c r="M158" s="96"/>
      <c r="N158" s="96"/>
      <c r="O158" s="96"/>
      <c r="P158" s="97"/>
      <c r="Q158" s="149"/>
    </row>
    <row r="159" spans="1:17">
      <c r="A159" s="86" t="s">
        <v>86</v>
      </c>
      <c r="B159" s="87">
        <v>58</v>
      </c>
      <c r="C159" s="88">
        <v>3.95</v>
      </c>
      <c r="D159" s="88">
        <v>1.9</v>
      </c>
      <c r="E159" s="83">
        <f>D159*C159</f>
        <v>7.5049999999999999</v>
      </c>
      <c r="F159" s="89"/>
      <c r="G159" s="87"/>
      <c r="H159" s="83">
        <f t="shared" si="75"/>
        <v>7.5049999999999999</v>
      </c>
      <c r="I159" s="64">
        <v>0.88300000000000001</v>
      </c>
      <c r="J159" s="64">
        <v>39</v>
      </c>
      <c r="K159" s="83">
        <f t="shared" si="73"/>
        <v>34.436999999999998</v>
      </c>
      <c r="L159" s="47">
        <f t="shared" si="74"/>
        <v>258.44968499999999</v>
      </c>
      <c r="M159" s="52"/>
      <c r="N159" s="53"/>
      <c r="O159" s="53"/>
      <c r="P159" s="54"/>
      <c r="Q159" s="149"/>
    </row>
    <row r="160" spans="1:17">
      <c r="A160" s="86" t="s">
        <v>87</v>
      </c>
      <c r="B160" s="87"/>
      <c r="C160" s="88">
        <v>3.95</v>
      </c>
      <c r="D160" s="88">
        <v>1.9</v>
      </c>
      <c r="E160" s="83">
        <f>E159</f>
        <v>7.5049999999999999</v>
      </c>
      <c r="F160" s="89"/>
      <c r="G160" s="87"/>
      <c r="H160" s="83">
        <f t="shared" si="75"/>
        <v>7.5049999999999999</v>
      </c>
      <c r="I160" s="64">
        <v>1.286</v>
      </c>
      <c r="J160" s="64">
        <v>9</v>
      </c>
      <c r="K160" s="83">
        <f t="shared" si="73"/>
        <v>11.574</v>
      </c>
      <c r="L160" s="47">
        <f t="shared" si="74"/>
        <v>86.862870000000001</v>
      </c>
      <c r="M160" s="52"/>
      <c r="N160" s="53"/>
      <c r="O160" s="53"/>
      <c r="P160" s="54"/>
      <c r="Q160" s="149"/>
    </row>
    <row r="161" spans="1:17" ht="13.5" thickBot="1">
      <c r="A161" s="42"/>
      <c r="B161" s="93"/>
      <c r="C161" s="94"/>
      <c r="D161" s="94"/>
      <c r="E161" s="90">
        <f>SUM(E153:E160)</f>
        <v>55.13</v>
      </c>
      <c r="F161" s="95"/>
      <c r="G161" s="93"/>
      <c r="H161" s="94"/>
      <c r="I161" s="94"/>
      <c r="J161" s="94"/>
      <c r="K161" s="94"/>
      <c r="L161" s="44"/>
      <c r="M161" s="50"/>
      <c r="N161" s="80"/>
      <c r="O161" s="80"/>
      <c r="P161" s="51"/>
      <c r="Q161" s="149"/>
    </row>
    <row r="162" spans="1:17" ht="14.25" thickTop="1" thickBot="1">
      <c r="A162" s="25"/>
      <c r="B162" s="152" t="s">
        <v>17</v>
      </c>
      <c r="C162" s="147"/>
      <c r="D162" s="147"/>
      <c r="E162" s="147"/>
      <c r="F162" s="153"/>
      <c r="G162" s="72"/>
      <c r="H162" s="73"/>
      <c r="I162" s="74"/>
      <c r="J162" s="84" t="s">
        <v>21</v>
      </c>
      <c r="K162" s="147">
        <f>SUM(L153:L161)</f>
        <v>1589.6047150000002</v>
      </c>
      <c r="L162" s="153"/>
      <c r="M162" s="46">
        <f>0.15*N154</f>
        <v>0.11089904386833918</v>
      </c>
      <c r="N162" s="83">
        <v>0</v>
      </c>
      <c r="O162" s="45">
        <v>0.05</v>
      </c>
      <c r="P162" s="83">
        <f>1+O162+N162+M162</f>
        <v>1.1608990438683393</v>
      </c>
      <c r="Q162" s="82"/>
    </row>
    <row r="163" spans="1:17">
      <c r="A163" s="15"/>
      <c r="B163" s="33"/>
      <c r="C163" s="79" t="s">
        <v>89</v>
      </c>
      <c r="D163" s="22">
        <v>1.9000000000000001E-4</v>
      </c>
      <c r="E163" s="22" t="s">
        <v>27</v>
      </c>
      <c r="F163" s="34">
        <v>16</v>
      </c>
      <c r="G163" s="49" t="s">
        <v>25</v>
      </c>
      <c r="H163" s="137">
        <f>(0.5*H152)/3600</f>
        <v>3.335555555555556E-3</v>
      </c>
      <c r="I163" s="138"/>
      <c r="J163" s="22"/>
      <c r="K163" s="22"/>
      <c r="L163" s="34"/>
      <c r="M163" s="22"/>
      <c r="N163" s="22"/>
      <c r="O163" s="22"/>
      <c r="P163" s="22" t="s">
        <v>24</v>
      </c>
      <c r="Q163" s="23">
        <f>K162*P162</f>
        <v>1845.3705937721043</v>
      </c>
    </row>
    <row r="164" spans="1:17" ht="13.5" thickBot="1">
      <c r="A164" s="15"/>
      <c r="B164" s="33"/>
      <c r="C164" s="79" t="s">
        <v>88</v>
      </c>
      <c r="D164" s="66">
        <f>((0.6+0.9)*2)*2</f>
        <v>6</v>
      </c>
      <c r="E164" s="22" t="s">
        <v>28</v>
      </c>
      <c r="F164" s="34">
        <v>0.7</v>
      </c>
      <c r="G164" s="35" t="s">
        <v>26</v>
      </c>
      <c r="H164" s="139">
        <f>((D163*D164)*F163*F164)</f>
        <v>1.2767999999999998E-2</v>
      </c>
      <c r="I164" s="140"/>
      <c r="J164" s="22"/>
      <c r="K164" s="22"/>
      <c r="L164" s="34"/>
      <c r="M164" s="22"/>
      <c r="N164" s="22"/>
      <c r="O164" s="22"/>
      <c r="P164" s="22" t="s">
        <v>29</v>
      </c>
      <c r="Q164" s="23">
        <f>1300*(H165*(N155-(N156)))</f>
        <v>647.33759999999995</v>
      </c>
    </row>
    <row r="165" spans="1:17" ht="13.5" thickBot="1">
      <c r="A165" s="25"/>
      <c r="B165" s="36"/>
      <c r="C165" s="26"/>
      <c r="D165" s="78"/>
      <c r="E165" s="78"/>
      <c r="F165" s="40"/>
      <c r="G165" s="41" t="s">
        <v>18</v>
      </c>
      <c r="H165" s="141">
        <f>MAX(H163,H164)</f>
        <v>1.2767999999999998E-2</v>
      </c>
      <c r="I165" s="142"/>
      <c r="J165" s="78"/>
      <c r="K165" s="78"/>
      <c r="L165" s="40"/>
      <c r="M165" s="78"/>
      <c r="N165" s="78"/>
      <c r="O165" s="78"/>
      <c r="P165" s="91" t="s">
        <v>90</v>
      </c>
      <c r="Q165" s="100">
        <f>SUM(Q163:Q164)</f>
        <v>2492.7081937721041</v>
      </c>
    </row>
    <row r="166" spans="1:17" ht="13.5" thickBot="1">
      <c r="A166" s="76"/>
      <c r="B166" s="76"/>
      <c r="C166" s="76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7"/>
    </row>
    <row r="167" spans="1:17" ht="13.5" thickBot="1">
      <c r="A167" s="19"/>
      <c r="B167" s="143" t="s">
        <v>113</v>
      </c>
      <c r="C167" s="144"/>
      <c r="D167" s="144"/>
      <c r="E167" s="144"/>
      <c r="F167" s="145"/>
      <c r="G167" s="60" t="s">
        <v>19</v>
      </c>
      <c r="H167" s="146">
        <f>3.2*5.3*3.2</f>
        <v>54.272000000000006</v>
      </c>
      <c r="I167" s="146"/>
      <c r="J167" s="59" t="s">
        <v>20</v>
      </c>
      <c r="K167" s="59"/>
      <c r="L167" s="61"/>
      <c r="M167" s="59"/>
      <c r="N167" s="59"/>
      <c r="O167" s="59"/>
      <c r="P167" s="59"/>
      <c r="Q167" s="24"/>
    </row>
    <row r="168" spans="1:17">
      <c r="A168" s="16" t="s">
        <v>32</v>
      </c>
      <c r="B168" s="67">
        <v>10</v>
      </c>
      <c r="C168" s="77">
        <v>5.3</v>
      </c>
      <c r="D168" s="77">
        <v>3.2</v>
      </c>
      <c r="E168" s="84">
        <f t="shared" ref="E168:E169" si="76">C168*D168</f>
        <v>16.96</v>
      </c>
      <c r="F168" s="70">
        <v>1</v>
      </c>
      <c r="G168" s="67">
        <f>0.8*2</f>
        <v>1.6</v>
      </c>
      <c r="H168" s="84">
        <f>(E168-(F168*G168))</f>
        <v>15.360000000000001</v>
      </c>
      <c r="I168" s="77">
        <v>2.87</v>
      </c>
      <c r="J168" s="77">
        <v>-4</v>
      </c>
      <c r="K168" s="84">
        <f t="shared" ref="K168:K178" si="77">J168*I168</f>
        <v>-11.48</v>
      </c>
      <c r="L168" s="85">
        <f t="shared" ref="L168:L178" si="78">H168*I168*J168</f>
        <v>-176.33280000000002</v>
      </c>
      <c r="M168" s="17" t="s">
        <v>22</v>
      </c>
      <c r="N168" s="147">
        <f>E179</f>
        <v>79.820000000000007</v>
      </c>
      <c r="O168" s="147"/>
      <c r="P168" s="147"/>
      <c r="Q168" s="148"/>
    </row>
    <row r="169" spans="1:17">
      <c r="A169" s="10" t="s">
        <v>92</v>
      </c>
      <c r="B169" s="68">
        <v>10</v>
      </c>
      <c r="C169" s="64">
        <v>1.2</v>
      </c>
      <c r="D169" s="64">
        <v>3.2</v>
      </c>
      <c r="E169" s="83">
        <f t="shared" si="76"/>
        <v>3.84</v>
      </c>
      <c r="F169" s="71"/>
      <c r="G169" s="68"/>
      <c r="H169" s="83">
        <f t="shared" ref="H169:H178" si="79">(E169-(F169*G169))</f>
        <v>3.84</v>
      </c>
      <c r="I169" s="64">
        <v>2.87</v>
      </c>
      <c r="J169" s="64">
        <v>0</v>
      </c>
      <c r="K169" s="83">
        <f t="shared" si="77"/>
        <v>0</v>
      </c>
      <c r="L169" s="47">
        <f t="shared" si="78"/>
        <v>0</v>
      </c>
      <c r="M169" s="46" t="s">
        <v>23</v>
      </c>
      <c r="N169" s="150">
        <f>K180/(N168*(N170-N171))</f>
        <v>0.37463122382503489</v>
      </c>
      <c r="O169" s="150"/>
      <c r="P169" s="150"/>
      <c r="Q169" s="149"/>
    </row>
    <row r="170" spans="1:17">
      <c r="A170" s="10" t="s">
        <v>96</v>
      </c>
      <c r="B170" s="68">
        <v>10</v>
      </c>
      <c r="C170" s="64">
        <v>1.1000000000000001</v>
      </c>
      <c r="D170" s="64">
        <v>3.2</v>
      </c>
      <c r="E170" s="83">
        <f>C170*D170</f>
        <v>3.5200000000000005</v>
      </c>
      <c r="F170" s="71">
        <v>1</v>
      </c>
      <c r="G170" s="68">
        <f>0.8*2</f>
        <v>1.6</v>
      </c>
      <c r="H170" s="83">
        <f t="shared" si="79"/>
        <v>1.9200000000000004</v>
      </c>
      <c r="I170" s="64">
        <v>2.87</v>
      </c>
      <c r="J170" s="64">
        <v>-5</v>
      </c>
      <c r="K170" s="83">
        <f t="shared" si="77"/>
        <v>-14.350000000000001</v>
      </c>
      <c r="L170" s="47">
        <f t="shared" si="78"/>
        <v>-27.552000000000007</v>
      </c>
      <c r="M170" s="46" t="s">
        <v>76</v>
      </c>
      <c r="N170" s="151">
        <v>20</v>
      </c>
      <c r="O170" s="151"/>
      <c r="P170" s="151"/>
      <c r="Q170" s="149"/>
    </row>
    <row r="171" spans="1:17">
      <c r="A171" s="10" t="s">
        <v>81</v>
      </c>
      <c r="B171" s="68">
        <v>30</v>
      </c>
      <c r="C171" s="64">
        <v>1.25</v>
      </c>
      <c r="D171" s="64">
        <v>3.2</v>
      </c>
      <c r="E171" s="83">
        <f>C171*D171</f>
        <v>4</v>
      </c>
      <c r="F171" s="71"/>
      <c r="G171" s="68"/>
      <c r="H171" s="83">
        <f t="shared" si="79"/>
        <v>4</v>
      </c>
      <c r="I171" s="64">
        <v>1.7210000000000001</v>
      </c>
      <c r="J171" s="64">
        <v>5</v>
      </c>
      <c r="K171" s="83">
        <f t="shared" si="77"/>
        <v>8.6050000000000004</v>
      </c>
      <c r="L171" s="47">
        <f t="shared" si="78"/>
        <v>34.42</v>
      </c>
      <c r="M171" s="46" t="s">
        <v>77</v>
      </c>
      <c r="N171" s="151">
        <v>-15</v>
      </c>
      <c r="O171" s="151"/>
      <c r="P171" s="151"/>
      <c r="Q171" s="149"/>
    </row>
    <row r="172" spans="1:17">
      <c r="A172" s="10" t="s">
        <v>108</v>
      </c>
      <c r="B172" s="68">
        <v>30</v>
      </c>
      <c r="C172" s="64">
        <v>4.05</v>
      </c>
      <c r="D172" s="64">
        <v>3.2</v>
      </c>
      <c r="E172" s="83">
        <f t="shared" ref="E172:E173" si="80">C172*D172</f>
        <v>12.96</v>
      </c>
      <c r="F172" s="71"/>
      <c r="G172" s="68"/>
      <c r="H172" s="83">
        <f t="shared" ref="H172:H173" si="81">(E172-(F172*G172))</f>
        <v>12.96</v>
      </c>
      <c r="I172" s="64">
        <v>1.7210000000000001</v>
      </c>
      <c r="J172" s="64">
        <v>0</v>
      </c>
      <c r="K172" s="83">
        <f t="shared" ref="K172:K173" si="82">J172*I172</f>
        <v>0</v>
      </c>
      <c r="L172" s="47">
        <f t="shared" ref="L172:L173" si="83">H172*I172*J172</f>
        <v>0</v>
      </c>
      <c r="M172" s="79"/>
      <c r="N172" s="96"/>
      <c r="O172" s="96"/>
      <c r="P172" s="97"/>
      <c r="Q172" s="149"/>
    </row>
    <row r="173" spans="1:17">
      <c r="A173" s="10" t="s">
        <v>111</v>
      </c>
      <c r="B173" s="68">
        <v>45</v>
      </c>
      <c r="C173" s="64">
        <v>2.2999999999999998</v>
      </c>
      <c r="D173" s="64">
        <v>3.2</v>
      </c>
      <c r="E173" s="83">
        <f t="shared" si="80"/>
        <v>7.3599999999999994</v>
      </c>
      <c r="F173" s="71">
        <v>1</v>
      </c>
      <c r="G173" s="68">
        <f>1.2*1.5</f>
        <v>1.7999999999999998</v>
      </c>
      <c r="H173" s="83">
        <f t="shared" si="81"/>
        <v>5.56</v>
      </c>
      <c r="I173" s="64">
        <v>1.304</v>
      </c>
      <c r="J173" s="64">
        <v>35</v>
      </c>
      <c r="K173" s="83">
        <f t="shared" si="82"/>
        <v>45.64</v>
      </c>
      <c r="L173" s="47">
        <f t="shared" si="83"/>
        <v>253.75839999999999</v>
      </c>
      <c r="M173" s="79"/>
      <c r="N173" s="96"/>
      <c r="O173" s="96"/>
      <c r="P173" s="97"/>
      <c r="Q173" s="149"/>
    </row>
    <row r="174" spans="1:17">
      <c r="A174" s="10" t="s">
        <v>112</v>
      </c>
      <c r="B174" s="68"/>
      <c r="C174" s="64">
        <v>1.2</v>
      </c>
      <c r="D174" s="64">
        <v>1.5</v>
      </c>
      <c r="E174" s="83">
        <f>C174*D174*2</f>
        <v>3.5999999999999996</v>
      </c>
      <c r="F174" s="71"/>
      <c r="G174" s="68"/>
      <c r="H174" s="83">
        <f t="shared" si="79"/>
        <v>3.5999999999999996</v>
      </c>
      <c r="I174" s="64">
        <v>4</v>
      </c>
      <c r="J174" s="64">
        <v>35</v>
      </c>
      <c r="K174" s="83">
        <f t="shared" si="77"/>
        <v>140</v>
      </c>
      <c r="L174" s="47">
        <f t="shared" si="78"/>
        <v>503.99999999999994</v>
      </c>
      <c r="M174" s="79"/>
      <c r="N174" s="96"/>
      <c r="O174" s="96"/>
      <c r="P174" s="97"/>
      <c r="Q174" s="149"/>
    </row>
    <row r="175" spans="1:17">
      <c r="A175" s="10" t="s">
        <v>94</v>
      </c>
      <c r="B175" s="68"/>
      <c r="C175" s="64">
        <v>0.8</v>
      </c>
      <c r="D175" s="64">
        <v>2</v>
      </c>
      <c r="E175" s="83">
        <f>C175*D175</f>
        <v>1.6</v>
      </c>
      <c r="F175" s="71"/>
      <c r="G175" s="68"/>
      <c r="H175" s="83">
        <f t="shared" si="79"/>
        <v>1.6</v>
      </c>
      <c r="I175" s="64">
        <v>2</v>
      </c>
      <c r="J175" s="64">
        <v>-4</v>
      </c>
      <c r="K175" s="83">
        <f t="shared" si="77"/>
        <v>-8</v>
      </c>
      <c r="L175" s="47">
        <f t="shared" si="78"/>
        <v>-12.8</v>
      </c>
      <c r="M175" s="79"/>
      <c r="N175" s="96"/>
      <c r="O175" s="96"/>
      <c r="P175" s="97"/>
      <c r="Q175" s="149"/>
    </row>
    <row r="176" spans="1:17">
      <c r="A176" s="10" t="s">
        <v>94</v>
      </c>
      <c r="B176" s="68"/>
      <c r="C176" s="64">
        <v>0.8</v>
      </c>
      <c r="D176" s="64">
        <v>2</v>
      </c>
      <c r="E176" s="83">
        <f>C176*D176</f>
        <v>1.6</v>
      </c>
      <c r="F176" s="71"/>
      <c r="G176" s="68"/>
      <c r="H176" s="83">
        <f t="shared" si="79"/>
        <v>1.6</v>
      </c>
      <c r="I176" s="64">
        <v>2</v>
      </c>
      <c r="J176" s="64">
        <v>5</v>
      </c>
      <c r="K176" s="83">
        <f t="shared" si="77"/>
        <v>10</v>
      </c>
      <c r="L176" s="47">
        <f t="shared" si="78"/>
        <v>16</v>
      </c>
      <c r="M176" s="96"/>
      <c r="N176" s="96"/>
      <c r="O176" s="96"/>
      <c r="P176" s="97"/>
      <c r="Q176" s="149"/>
    </row>
    <row r="177" spans="1:17">
      <c r="A177" s="86" t="s">
        <v>86</v>
      </c>
      <c r="B177" s="87">
        <v>58</v>
      </c>
      <c r="C177" s="88">
        <v>2.2999999999999998</v>
      </c>
      <c r="D177" s="88">
        <v>5.3</v>
      </c>
      <c r="E177" s="83">
        <f>D177*C177</f>
        <v>12.19</v>
      </c>
      <c r="F177" s="89"/>
      <c r="G177" s="87"/>
      <c r="H177" s="83">
        <f t="shared" si="79"/>
        <v>12.19</v>
      </c>
      <c r="I177" s="64">
        <v>0.88300000000000001</v>
      </c>
      <c r="J177" s="64">
        <v>35</v>
      </c>
      <c r="K177" s="83">
        <f t="shared" si="77"/>
        <v>30.905000000000001</v>
      </c>
      <c r="L177" s="47">
        <f t="shared" si="78"/>
        <v>376.73194999999998</v>
      </c>
      <c r="M177" s="52"/>
      <c r="N177" s="53"/>
      <c r="O177" s="53"/>
      <c r="P177" s="54"/>
      <c r="Q177" s="149"/>
    </row>
    <row r="178" spans="1:17">
      <c r="A178" s="86" t="s">
        <v>87</v>
      </c>
      <c r="B178" s="87"/>
      <c r="C178" s="88">
        <v>2.2999999999999998</v>
      </c>
      <c r="D178" s="88">
        <v>5.3</v>
      </c>
      <c r="E178" s="83">
        <f>E177</f>
        <v>12.19</v>
      </c>
      <c r="F178" s="89"/>
      <c r="G178" s="87"/>
      <c r="H178" s="83">
        <f t="shared" si="79"/>
        <v>12.19</v>
      </c>
      <c r="I178" s="64">
        <v>1.286</v>
      </c>
      <c r="J178" s="64">
        <v>5</v>
      </c>
      <c r="K178" s="83">
        <f t="shared" si="77"/>
        <v>6.43</v>
      </c>
      <c r="L178" s="47">
        <f t="shared" si="78"/>
        <v>78.381699999999995</v>
      </c>
      <c r="M178" s="52"/>
      <c r="N178" s="53"/>
      <c r="O178" s="53"/>
      <c r="P178" s="54"/>
      <c r="Q178" s="149"/>
    </row>
    <row r="179" spans="1:17" ht="13.5" thickBot="1">
      <c r="A179" s="42"/>
      <c r="B179" s="93"/>
      <c r="C179" s="94"/>
      <c r="D179" s="94"/>
      <c r="E179" s="90">
        <f>SUM(E168:E178)</f>
        <v>79.820000000000007</v>
      </c>
      <c r="F179" s="95"/>
      <c r="G179" s="93"/>
      <c r="H179" s="94"/>
      <c r="I179" s="94"/>
      <c r="J179" s="94"/>
      <c r="K179" s="94"/>
      <c r="L179" s="44"/>
      <c r="M179" s="50"/>
      <c r="N179" s="80"/>
      <c r="O179" s="80"/>
      <c r="P179" s="51"/>
      <c r="Q179" s="149"/>
    </row>
    <row r="180" spans="1:17" ht="14.25" thickTop="1" thickBot="1">
      <c r="A180" s="25"/>
      <c r="B180" s="152" t="s">
        <v>17</v>
      </c>
      <c r="C180" s="147"/>
      <c r="D180" s="147"/>
      <c r="E180" s="147"/>
      <c r="F180" s="153"/>
      <c r="G180" s="72"/>
      <c r="H180" s="73"/>
      <c r="I180" s="74"/>
      <c r="J180" s="84" t="s">
        <v>21</v>
      </c>
      <c r="K180" s="147">
        <f>SUM(L168:L179)</f>
        <v>1046.60725</v>
      </c>
      <c r="L180" s="153"/>
      <c r="M180" s="46">
        <f>0.15*N169</f>
        <v>5.6194683573755233E-2</v>
      </c>
      <c r="N180" s="83">
        <v>0</v>
      </c>
      <c r="O180" s="45">
        <v>-0.05</v>
      </c>
      <c r="P180" s="83">
        <f>1+O180+N180+M180</f>
        <v>1.0061946835737552</v>
      </c>
      <c r="Q180" s="82"/>
    </row>
    <row r="181" spans="1:17">
      <c r="A181" s="15"/>
      <c r="B181" s="33"/>
      <c r="C181" s="79" t="s">
        <v>89</v>
      </c>
      <c r="D181" s="22">
        <v>1.9000000000000001E-4</v>
      </c>
      <c r="E181" s="22" t="s">
        <v>27</v>
      </c>
      <c r="F181" s="34">
        <v>16</v>
      </c>
      <c r="G181" s="49" t="s">
        <v>25</v>
      </c>
      <c r="H181" s="137">
        <f>(0.5*H167)/3600</f>
        <v>7.5377777777777787E-3</v>
      </c>
      <c r="I181" s="138"/>
      <c r="J181" s="22"/>
      <c r="K181" s="22"/>
      <c r="L181" s="34"/>
      <c r="M181" s="22"/>
      <c r="N181" s="22"/>
      <c r="O181" s="22"/>
      <c r="P181" s="22" t="s">
        <v>24</v>
      </c>
      <c r="Q181" s="23">
        <f>K180*P180</f>
        <v>1053.0906507397481</v>
      </c>
    </row>
    <row r="182" spans="1:17" ht="13.5" thickBot="1">
      <c r="A182" s="15"/>
      <c r="B182" s="33"/>
      <c r="C182" s="79" t="s">
        <v>88</v>
      </c>
      <c r="D182" s="66">
        <f>(1.2+1.5)*2</f>
        <v>5.4</v>
      </c>
      <c r="E182" s="22" t="s">
        <v>28</v>
      </c>
      <c r="F182" s="34">
        <v>0.7</v>
      </c>
      <c r="G182" s="35" t="s">
        <v>26</v>
      </c>
      <c r="H182" s="139">
        <f>((D181*D182)*F181*F182)</f>
        <v>1.1491200000000002E-2</v>
      </c>
      <c r="I182" s="140"/>
      <c r="J182" s="22"/>
      <c r="K182" s="22"/>
      <c r="L182" s="34"/>
      <c r="M182" s="22"/>
      <c r="N182" s="22"/>
      <c r="O182" s="22"/>
      <c r="P182" s="22" t="s">
        <v>29</v>
      </c>
      <c r="Q182" s="23">
        <f>1300*(H183*(N170-(N171)))</f>
        <v>522.84960000000001</v>
      </c>
    </row>
    <row r="183" spans="1:17" ht="13.5" thickBot="1">
      <c r="A183" s="25"/>
      <c r="B183" s="36"/>
      <c r="C183" s="26"/>
      <c r="D183" s="78"/>
      <c r="E183" s="78"/>
      <c r="F183" s="40"/>
      <c r="G183" s="41" t="s">
        <v>18</v>
      </c>
      <c r="H183" s="141">
        <f>MAX(H181,H182)</f>
        <v>1.1491200000000002E-2</v>
      </c>
      <c r="I183" s="142"/>
      <c r="J183" s="78"/>
      <c r="K183" s="78"/>
      <c r="L183" s="40"/>
      <c r="M183" s="78"/>
      <c r="N183" s="78"/>
      <c r="O183" s="78"/>
      <c r="P183" s="91" t="s">
        <v>90</v>
      </c>
      <c r="Q183" s="100">
        <f>SUM(Q181:Q182)</f>
        <v>1575.9402507397481</v>
      </c>
    </row>
    <row r="184" spans="1:17" ht="13.5" thickBot="1">
      <c r="A184" s="76"/>
      <c r="B184" s="76"/>
      <c r="C184" s="76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7"/>
    </row>
    <row r="185" spans="1:17" ht="13.5" thickBot="1">
      <c r="A185" s="19"/>
      <c r="B185" s="143" t="s">
        <v>114</v>
      </c>
      <c r="C185" s="144"/>
      <c r="D185" s="144"/>
      <c r="E185" s="144"/>
      <c r="F185" s="145"/>
      <c r="G185" s="60" t="s">
        <v>19</v>
      </c>
      <c r="H185" s="146">
        <f>3.3*3.9*3.2</f>
        <v>41.183999999999997</v>
      </c>
      <c r="I185" s="146"/>
      <c r="J185" s="59" t="s">
        <v>20</v>
      </c>
      <c r="K185" s="59"/>
      <c r="L185" s="61"/>
      <c r="M185" s="59"/>
      <c r="N185" s="59"/>
      <c r="O185" s="59"/>
      <c r="P185" s="59"/>
      <c r="Q185" s="24"/>
    </row>
    <row r="186" spans="1:17">
      <c r="A186" s="16" t="s">
        <v>32</v>
      </c>
      <c r="B186" s="67">
        <v>30</v>
      </c>
      <c r="C186" s="77">
        <v>3.9</v>
      </c>
      <c r="D186" s="77">
        <v>3.2</v>
      </c>
      <c r="E186" s="84">
        <f t="shared" ref="E186:E187" si="84">C186*D186</f>
        <v>12.48</v>
      </c>
      <c r="F186" s="70"/>
      <c r="G186" s="67"/>
      <c r="H186" s="84">
        <f>(E186-(F186*G186))</f>
        <v>12.48</v>
      </c>
      <c r="I186" s="77">
        <v>1.7210000000000001</v>
      </c>
      <c r="J186" s="77">
        <v>0</v>
      </c>
      <c r="K186" s="84">
        <f t="shared" ref="K186:K195" si="85">J186*I186</f>
        <v>0</v>
      </c>
      <c r="L186" s="85">
        <f t="shared" ref="L186:L195" si="86">H186*I186*J186</f>
        <v>0</v>
      </c>
      <c r="M186" s="17" t="s">
        <v>22</v>
      </c>
      <c r="N186" s="147">
        <f>E196</f>
        <v>77.860000000000014</v>
      </c>
      <c r="O186" s="147"/>
      <c r="P186" s="147"/>
      <c r="Q186" s="148"/>
    </row>
    <row r="187" spans="1:17">
      <c r="A187" s="10" t="s">
        <v>31</v>
      </c>
      <c r="B187" s="68">
        <v>15</v>
      </c>
      <c r="C187" s="64">
        <v>1.5</v>
      </c>
      <c r="D187" s="64">
        <v>3.2</v>
      </c>
      <c r="E187" s="83">
        <f t="shared" si="84"/>
        <v>4.8000000000000007</v>
      </c>
      <c r="F187" s="71">
        <v>1</v>
      </c>
      <c r="G187" s="68">
        <f>0.8*2</f>
        <v>1.6</v>
      </c>
      <c r="H187" s="83">
        <f t="shared" ref="H187:H195" si="87">(E187-(F187*G187))</f>
        <v>3.2000000000000006</v>
      </c>
      <c r="I187" s="64">
        <v>2.46</v>
      </c>
      <c r="J187" s="64">
        <v>5</v>
      </c>
      <c r="K187" s="83">
        <f t="shared" si="85"/>
        <v>12.3</v>
      </c>
      <c r="L187" s="47">
        <f t="shared" si="86"/>
        <v>39.360000000000007</v>
      </c>
      <c r="M187" s="46" t="s">
        <v>23</v>
      </c>
      <c r="N187" s="150">
        <f>K197/(N186*(N188-N189))</f>
        <v>0.75635149168837845</v>
      </c>
      <c r="O187" s="150"/>
      <c r="P187" s="150"/>
      <c r="Q187" s="149"/>
    </row>
    <row r="188" spans="1:17">
      <c r="A188" s="10" t="s">
        <v>96</v>
      </c>
      <c r="B188" s="68">
        <v>15</v>
      </c>
      <c r="C188" s="64">
        <v>1.8</v>
      </c>
      <c r="D188" s="64">
        <v>3.2</v>
      </c>
      <c r="E188" s="83">
        <f>C188*D188</f>
        <v>5.7600000000000007</v>
      </c>
      <c r="F188" s="71"/>
      <c r="G188" s="68"/>
      <c r="H188" s="83">
        <f t="shared" si="87"/>
        <v>5.7600000000000007</v>
      </c>
      <c r="I188" s="64">
        <v>2.46</v>
      </c>
      <c r="J188" s="64">
        <v>0</v>
      </c>
      <c r="K188" s="83">
        <f t="shared" si="85"/>
        <v>0</v>
      </c>
      <c r="L188" s="47">
        <f t="shared" si="86"/>
        <v>0</v>
      </c>
      <c r="M188" s="46" t="s">
        <v>76</v>
      </c>
      <c r="N188" s="151">
        <v>20</v>
      </c>
      <c r="O188" s="151"/>
      <c r="P188" s="151"/>
      <c r="Q188" s="149"/>
    </row>
    <row r="189" spans="1:17">
      <c r="A189" s="10" t="s">
        <v>110</v>
      </c>
      <c r="B189" s="68">
        <v>45</v>
      </c>
      <c r="C189" s="64">
        <v>3.9</v>
      </c>
      <c r="D189" s="64">
        <v>3.2</v>
      </c>
      <c r="E189" s="83">
        <f>C189*D189</f>
        <v>12.48</v>
      </c>
      <c r="F189" s="71">
        <v>1</v>
      </c>
      <c r="G189" s="68">
        <f>1.2*1.2</f>
        <v>1.44</v>
      </c>
      <c r="H189" s="83">
        <f t="shared" si="87"/>
        <v>11.040000000000001</v>
      </c>
      <c r="I189" s="64">
        <v>1.304</v>
      </c>
      <c r="J189" s="64">
        <v>35</v>
      </c>
      <c r="K189" s="83">
        <f t="shared" si="85"/>
        <v>45.64</v>
      </c>
      <c r="L189" s="47">
        <f t="shared" si="86"/>
        <v>503.86560000000009</v>
      </c>
      <c r="M189" s="46" t="s">
        <v>77</v>
      </c>
      <c r="N189" s="151">
        <v>-15</v>
      </c>
      <c r="O189" s="151"/>
      <c r="P189" s="151"/>
      <c r="Q189" s="149"/>
    </row>
    <row r="190" spans="1:17">
      <c r="A190" s="10" t="s">
        <v>98</v>
      </c>
      <c r="B190" s="68">
        <v>45</v>
      </c>
      <c r="C190" s="64">
        <v>3.3</v>
      </c>
      <c r="D190" s="64">
        <v>3.2</v>
      </c>
      <c r="E190" s="83">
        <f t="shared" ref="E190:E191" si="88">C190*D190</f>
        <v>10.56</v>
      </c>
      <c r="F190" s="71">
        <v>1</v>
      </c>
      <c r="G190" s="68">
        <f>1.2*1.5</f>
        <v>1.7999999999999998</v>
      </c>
      <c r="H190" s="83">
        <f t="shared" si="87"/>
        <v>8.7600000000000016</v>
      </c>
      <c r="I190" s="64">
        <v>1.304</v>
      </c>
      <c r="J190" s="64">
        <v>35</v>
      </c>
      <c r="K190" s="83">
        <f t="shared" si="85"/>
        <v>45.64</v>
      </c>
      <c r="L190" s="47">
        <f t="shared" si="86"/>
        <v>399.80640000000005</v>
      </c>
      <c r="M190" s="79"/>
      <c r="N190" s="96"/>
      <c r="O190" s="96"/>
      <c r="P190" s="97"/>
      <c r="Q190" s="149"/>
    </row>
    <row r="191" spans="1:17">
      <c r="A191" s="10" t="s">
        <v>115</v>
      </c>
      <c r="B191" s="68"/>
      <c r="C191" s="64">
        <v>1.2</v>
      </c>
      <c r="D191" s="64">
        <v>1.2</v>
      </c>
      <c r="E191" s="83">
        <f t="shared" si="88"/>
        <v>1.44</v>
      </c>
      <c r="F191" s="71"/>
      <c r="G191" s="68"/>
      <c r="H191" s="83">
        <f t="shared" si="87"/>
        <v>1.44</v>
      </c>
      <c r="I191" s="64">
        <v>4</v>
      </c>
      <c r="J191" s="64">
        <v>35</v>
      </c>
      <c r="K191" s="83">
        <f t="shared" si="85"/>
        <v>140</v>
      </c>
      <c r="L191" s="47">
        <f t="shared" si="86"/>
        <v>201.6</v>
      </c>
      <c r="M191" s="79"/>
      <c r="N191" s="96"/>
      <c r="O191" s="96"/>
      <c r="P191" s="97"/>
      <c r="Q191" s="149"/>
    </row>
    <row r="192" spans="1:17">
      <c r="A192" s="10" t="s">
        <v>83</v>
      </c>
      <c r="B192" s="68"/>
      <c r="C192" s="64">
        <v>2</v>
      </c>
      <c r="D192" s="64">
        <v>1.5</v>
      </c>
      <c r="E192" s="83">
        <f>C192*D192</f>
        <v>3</v>
      </c>
      <c r="F192" s="71"/>
      <c r="G192" s="68"/>
      <c r="H192" s="83">
        <f t="shared" si="87"/>
        <v>3</v>
      </c>
      <c r="I192" s="64">
        <v>4</v>
      </c>
      <c r="J192" s="64">
        <v>35</v>
      </c>
      <c r="K192" s="83">
        <f t="shared" si="85"/>
        <v>140</v>
      </c>
      <c r="L192" s="47">
        <f t="shared" si="86"/>
        <v>420</v>
      </c>
      <c r="M192" s="79"/>
      <c r="N192" s="96"/>
      <c r="O192" s="96"/>
      <c r="P192" s="97"/>
      <c r="Q192" s="149"/>
    </row>
    <row r="193" spans="1:17">
      <c r="A193" s="10" t="s">
        <v>94</v>
      </c>
      <c r="B193" s="68"/>
      <c r="C193" s="64">
        <v>0.8</v>
      </c>
      <c r="D193" s="64">
        <v>2</v>
      </c>
      <c r="E193" s="83">
        <f>C193*D193</f>
        <v>1.6</v>
      </c>
      <c r="F193" s="71"/>
      <c r="G193" s="68"/>
      <c r="H193" s="83">
        <f t="shared" si="87"/>
        <v>1.6</v>
      </c>
      <c r="I193" s="64">
        <v>2</v>
      </c>
      <c r="J193" s="64">
        <v>5</v>
      </c>
      <c r="K193" s="83">
        <f t="shared" si="85"/>
        <v>10</v>
      </c>
      <c r="L193" s="47">
        <f t="shared" si="86"/>
        <v>16</v>
      </c>
      <c r="M193" s="79"/>
      <c r="N193" s="96"/>
      <c r="O193" s="96"/>
      <c r="P193" s="97"/>
      <c r="Q193" s="149"/>
    </row>
    <row r="194" spans="1:17">
      <c r="A194" s="86" t="s">
        <v>86</v>
      </c>
      <c r="B194" s="87">
        <v>58</v>
      </c>
      <c r="C194" s="88">
        <v>3.9</v>
      </c>
      <c r="D194" s="88">
        <v>3.3</v>
      </c>
      <c r="E194" s="83">
        <f>D194*C194</f>
        <v>12.87</v>
      </c>
      <c r="F194" s="89"/>
      <c r="G194" s="87"/>
      <c r="H194" s="83">
        <f t="shared" si="87"/>
        <v>12.87</v>
      </c>
      <c r="I194" s="64">
        <v>0.88300000000000001</v>
      </c>
      <c r="J194" s="64">
        <v>35</v>
      </c>
      <c r="K194" s="83">
        <f t="shared" si="85"/>
        <v>30.905000000000001</v>
      </c>
      <c r="L194" s="47">
        <f t="shared" si="86"/>
        <v>397.74734999999998</v>
      </c>
      <c r="M194" s="52"/>
      <c r="N194" s="53"/>
      <c r="O194" s="53"/>
      <c r="P194" s="54"/>
      <c r="Q194" s="149"/>
    </row>
    <row r="195" spans="1:17">
      <c r="A195" s="86" t="s">
        <v>87</v>
      </c>
      <c r="B195" s="87"/>
      <c r="C195" s="88">
        <v>3.9</v>
      </c>
      <c r="D195" s="88">
        <v>3.3</v>
      </c>
      <c r="E195" s="83">
        <f>E194</f>
        <v>12.87</v>
      </c>
      <c r="F195" s="89"/>
      <c r="G195" s="87"/>
      <c r="H195" s="83">
        <f t="shared" si="87"/>
        <v>12.87</v>
      </c>
      <c r="I195" s="64">
        <v>1.286</v>
      </c>
      <c r="J195" s="64">
        <v>5</v>
      </c>
      <c r="K195" s="83">
        <f t="shared" si="85"/>
        <v>6.43</v>
      </c>
      <c r="L195" s="47">
        <f t="shared" si="86"/>
        <v>82.754099999999994</v>
      </c>
      <c r="M195" s="52"/>
      <c r="N195" s="53"/>
      <c r="O195" s="53"/>
      <c r="P195" s="54"/>
      <c r="Q195" s="149"/>
    </row>
    <row r="196" spans="1:17" ht="13.5" thickBot="1">
      <c r="A196" s="42"/>
      <c r="B196" s="93"/>
      <c r="C196" s="94"/>
      <c r="D196" s="94"/>
      <c r="E196" s="90">
        <f>SUM(E186:E195)</f>
        <v>77.860000000000014</v>
      </c>
      <c r="F196" s="95"/>
      <c r="G196" s="93"/>
      <c r="H196" s="94"/>
      <c r="I196" s="94"/>
      <c r="J196" s="94"/>
      <c r="K196" s="94"/>
      <c r="L196" s="44"/>
      <c r="M196" s="50"/>
      <c r="N196" s="80"/>
      <c r="O196" s="80"/>
      <c r="P196" s="51"/>
      <c r="Q196" s="149"/>
    </row>
    <row r="197" spans="1:17" ht="14.25" thickTop="1" thickBot="1">
      <c r="A197" s="25"/>
      <c r="B197" s="152" t="s">
        <v>17</v>
      </c>
      <c r="C197" s="147"/>
      <c r="D197" s="147"/>
      <c r="E197" s="147"/>
      <c r="F197" s="153"/>
      <c r="G197" s="72"/>
      <c r="H197" s="73"/>
      <c r="I197" s="74"/>
      <c r="J197" s="84" t="s">
        <v>21</v>
      </c>
      <c r="K197" s="147">
        <f>SUM(L186:L196)</f>
        <v>2061.1334500000003</v>
      </c>
      <c r="L197" s="153"/>
      <c r="M197" s="46">
        <f>0.15*N187</f>
        <v>0.11345272375325677</v>
      </c>
      <c r="N197" s="83">
        <v>0</v>
      </c>
      <c r="O197" s="45">
        <v>0</v>
      </c>
      <c r="P197" s="83">
        <f>1+O197+N197+M197</f>
        <v>1.1134527237532568</v>
      </c>
      <c r="Q197" s="82"/>
    </row>
    <row r="198" spans="1:17">
      <c r="A198" s="15"/>
      <c r="B198" s="33"/>
      <c r="C198" s="79" t="s">
        <v>89</v>
      </c>
      <c r="D198" s="22">
        <v>1.9000000000000001E-4</v>
      </c>
      <c r="E198" s="22" t="s">
        <v>27</v>
      </c>
      <c r="F198" s="34">
        <v>16</v>
      </c>
      <c r="G198" s="49" t="s">
        <v>25</v>
      </c>
      <c r="H198" s="137">
        <f>(0.5*H185)/3600</f>
        <v>5.7199999999999994E-3</v>
      </c>
      <c r="I198" s="138"/>
      <c r="J198" s="22"/>
      <c r="K198" s="22"/>
      <c r="L198" s="34"/>
      <c r="M198" s="22"/>
      <c r="N198" s="22"/>
      <c r="O198" s="22"/>
      <c r="P198" s="22" t="s">
        <v>24</v>
      </c>
      <c r="Q198" s="23">
        <f>K197*P197</f>
        <v>2294.9746539214475</v>
      </c>
    </row>
    <row r="199" spans="1:17" ht="13.5" thickBot="1">
      <c r="A199" s="15"/>
      <c r="B199" s="33"/>
      <c r="C199" s="79" t="s">
        <v>88</v>
      </c>
      <c r="D199" s="66">
        <f>(1.2+1.2)*2+(2+1.5)*2+2*1.5</f>
        <v>14.8</v>
      </c>
      <c r="E199" s="22" t="s">
        <v>28</v>
      </c>
      <c r="F199" s="34">
        <v>0.7</v>
      </c>
      <c r="G199" s="35" t="s">
        <v>26</v>
      </c>
      <c r="H199" s="139">
        <f>((D198*D199)*F198*F199)</f>
        <v>3.1494399999999999E-2</v>
      </c>
      <c r="I199" s="140"/>
      <c r="J199" s="22"/>
      <c r="K199" s="22"/>
      <c r="L199" s="34"/>
      <c r="M199" s="22"/>
      <c r="N199" s="22"/>
      <c r="O199" s="22"/>
      <c r="P199" s="22" t="s">
        <v>29</v>
      </c>
      <c r="Q199" s="23">
        <f>1300*(H200*(N188-(N189)))</f>
        <v>1432.9951999999998</v>
      </c>
    </row>
    <row r="200" spans="1:17" ht="13.5" thickBot="1">
      <c r="A200" s="25"/>
      <c r="B200" s="36"/>
      <c r="C200" s="26"/>
      <c r="D200" s="78"/>
      <c r="E200" s="78"/>
      <c r="F200" s="40"/>
      <c r="G200" s="41" t="s">
        <v>18</v>
      </c>
      <c r="H200" s="141">
        <f>MAX(H198,H199)</f>
        <v>3.1494399999999999E-2</v>
      </c>
      <c r="I200" s="142"/>
      <c r="J200" s="78"/>
      <c r="K200" s="78"/>
      <c r="L200" s="40"/>
      <c r="M200" s="78"/>
      <c r="N200" s="78"/>
      <c r="O200" s="78"/>
      <c r="P200" s="91" t="s">
        <v>90</v>
      </c>
      <c r="Q200" s="92">
        <f>SUM(Q198:Q199)</f>
        <v>3727.9698539214473</v>
      </c>
    </row>
    <row r="201" spans="1:17" ht="13.5" thickBot="1">
      <c r="A201" s="76"/>
      <c r="B201" s="76"/>
      <c r="C201" s="76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7"/>
    </row>
    <row r="202" spans="1:17" ht="13.5" thickBot="1">
      <c r="A202" s="19"/>
      <c r="B202" s="143" t="s">
        <v>116</v>
      </c>
      <c r="C202" s="144"/>
      <c r="D202" s="144"/>
      <c r="E202" s="144"/>
      <c r="F202" s="145"/>
      <c r="G202" s="60" t="s">
        <v>19</v>
      </c>
      <c r="H202" s="146">
        <f>1.7*2.7*3.2</f>
        <v>14.688000000000001</v>
      </c>
      <c r="I202" s="146"/>
      <c r="J202" s="59" t="s">
        <v>20</v>
      </c>
      <c r="K202" s="59"/>
      <c r="L202" s="61"/>
      <c r="M202" s="59"/>
      <c r="N202" s="59"/>
      <c r="O202" s="59"/>
      <c r="P202" s="59"/>
      <c r="Q202" s="24"/>
    </row>
    <row r="203" spans="1:17">
      <c r="A203" s="16" t="s">
        <v>30</v>
      </c>
      <c r="B203" s="67">
        <v>10</v>
      </c>
      <c r="C203" s="77">
        <v>2.7</v>
      </c>
      <c r="D203" s="77">
        <v>3.2</v>
      </c>
      <c r="E203" s="84">
        <f t="shared" ref="E203:E204" si="89">C203*D203</f>
        <v>8.64</v>
      </c>
      <c r="F203" s="70">
        <v>1</v>
      </c>
      <c r="G203" s="67">
        <f>0.6*2</f>
        <v>1.2</v>
      </c>
      <c r="H203" s="84">
        <f>(E203-(F203*G203))</f>
        <v>7.44</v>
      </c>
      <c r="I203" s="77">
        <v>2.87</v>
      </c>
      <c r="J203" s="77">
        <v>5</v>
      </c>
      <c r="K203" s="84">
        <f t="shared" ref="K203:K210" si="90">J203*I203</f>
        <v>14.350000000000001</v>
      </c>
      <c r="L203" s="85">
        <f t="shared" ref="L203:L210" si="91">H203*I203*J203</f>
        <v>106.76400000000001</v>
      </c>
      <c r="M203" s="17" t="s">
        <v>22</v>
      </c>
      <c r="N203" s="147">
        <f>E211</f>
        <v>39.980000000000004</v>
      </c>
      <c r="O203" s="147"/>
      <c r="P203" s="147"/>
      <c r="Q203" s="148"/>
    </row>
    <row r="204" spans="1:17">
      <c r="A204" s="10" t="s">
        <v>31</v>
      </c>
      <c r="B204" s="68">
        <v>30</v>
      </c>
      <c r="C204" s="64">
        <v>1.7</v>
      </c>
      <c r="D204" s="64">
        <v>3.2</v>
      </c>
      <c r="E204" s="83">
        <f t="shared" si="89"/>
        <v>5.44</v>
      </c>
      <c r="F204" s="71"/>
      <c r="G204" s="68"/>
      <c r="H204" s="83">
        <f t="shared" ref="H204:H210" si="92">(E204-(F204*G204))</f>
        <v>5.44</v>
      </c>
      <c r="I204" s="64">
        <v>1.7210000000000001</v>
      </c>
      <c r="J204" s="64">
        <v>5</v>
      </c>
      <c r="K204" s="83">
        <f t="shared" si="90"/>
        <v>8.6050000000000004</v>
      </c>
      <c r="L204" s="47">
        <f t="shared" si="91"/>
        <v>46.811200000000007</v>
      </c>
      <c r="M204" s="46" t="s">
        <v>23</v>
      </c>
      <c r="N204" s="150">
        <f>K212/(N203*(N205-N206))</f>
        <v>0.619703315943686</v>
      </c>
      <c r="O204" s="150"/>
      <c r="P204" s="150"/>
      <c r="Q204" s="149"/>
    </row>
    <row r="205" spans="1:17">
      <c r="A205" s="10" t="s">
        <v>73</v>
      </c>
      <c r="B205" s="68">
        <v>45</v>
      </c>
      <c r="C205" s="64">
        <v>2.7</v>
      </c>
      <c r="D205" s="64">
        <v>3.2</v>
      </c>
      <c r="E205" s="83">
        <f>C205*D205</f>
        <v>8.64</v>
      </c>
      <c r="F205" s="71">
        <v>1</v>
      </c>
      <c r="G205" s="68">
        <f>1.2*1.2</f>
        <v>1.44</v>
      </c>
      <c r="H205" s="83">
        <f t="shared" si="92"/>
        <v>7.2000000000000011</v>
      </c>
      <c r="I205" s="64">
        <v>1.304</v>
      </c>
      <c r="J205" s="64">
        <v>35</v>
      </c>
      <c r="K205" s="83">
        <f t="shared" si="90"/>
        <v>45.64</v>
      </c>
      <c r="L205" s="47">
        <f t="shared" si="91"/>
        <v>328.60800000000006</v>
      </c>
      <c r="M205" s="46" t="s">
        <v>76</v>
      </c>
      <c r="N205" s="151">
        <v>20</v>
      </c>
      <c r="O205" s="151"/>
      <c r="P205" s="151"/>
      <c r="Q205" s="149"/>
    </row>
    <row r="206" spans="1:17">
      <c r="A206" s="10" t="s">
        <v>81</v>
      </c>
      <c r="B206" s="68">
        <v>15</v>
      </c>
      <c r="C206" s="64">
        <v>1.7</v>
      </c>
      <c r="D206" s="64">
        <v>3.2</v>
      </c>
      <c r="E206" s="83">
        <f>C206*D206</f>
        <v>5.44</v>
      </c>
      <c r="F206" s="71"/>
      <c r="G206" s="68"/>
      <c r="H206" s="83">
        <f t="shared" si="92"/>
        <v>5.44</v>
      </c>
      <c r="I206" s="64">
        <v>2.46</v>
      </c>
      <c r="J206" s="64">
        <v>0</v>
      </c>
      <c r="K206" s="83">
        <f t="shared" si="90"/>
        <v>0</v>
      </c>
      <c r="L206" s="47">
        <f t="shared" si="91"/>
        <v>0</v>
      </c>
      <c r="M206" s="46" t="s">
        <v>77</v>
      </c>
      <c r="N206" s="151">
        <v>-15</v>
      </c>
      <c r="O206" s="151"/>
      <c r="P206" s="151"/>
      <c r="Q206" s="149"/>
    </row>
    <row r="207" spans="1:17">
      <c r="A207" s="10" t="s">
        <v>115</v>
      </c>
      <c r="B207" s="68"/>
      <c r="C207" s="64">
        <v>1.2</v>
      </c>
      <c r="D207" s="64">
        <v>1.2</v>
      </c>
      <c r="E207" s="83">
        <f t="shared" ref="E207" si="93">C207*D207</f>
        <v>1.44</v>
      </c>
      <c r="F207" s="71"/>
      <c r="G207" s="68"/>
      <c r="H207" s="83">
        <f t="shared" si="92"/>
        <v>1.44</v>
      </c>
      <c r="I207" s="64">
        <v>4</v>
      </c>
      <c r="J207" s="64">
        <v>35</v>
      </c>
      <c r="K207" s="83">
        <f t="shared" si="90"/>
        <v>140</v>
      </c>
      <c r="L207" s="47">
        <f t="shared" si="91"/>
        <v>201.6</v>
      </c>
      <c r="M207" s="79"/>
      <c r="N207" s="96"/>
      <c r="O207" s="96"/>
      <c r="P207" s="97"/>
      <c r="Q207" s="149"/>
    </row>
    <row r="208" spans="1:17">
      <c r="A208" s="10" t="s">
        <v>100</v>
      </c>
      <c r="B208" s="68"/>
      <c r="C208" s="64">
        <v>0.6</v>
      </c>
      <c r="D208" s="64">
        <v>2</v>
      </c>
      <c r="E208" s="83">
        <f>C208*D208</f>
        <v>1.2</v>
      </c>
      <c r="F208" s="71"/>
      <c r="G208" s="68"/>
      <c r="H208" s="83">
        <f t="shared" si="92"/>
        <v>1.2</v>
      </c>
      <c r="I208" s="64">
        <v>2</v>
      </c>
      <c r="J208" s="64">
        <v>5</v>
      </c>
      <c r="K208" s="83">
        <f t="shared" si="90"/>
        <v>10</v>
      </c>
      <c r="L208" s="47">
        <f t="shared" si="91"/>
        <v>12</v>
      </c>
      <c r="M208" s="79"/>
      <c r="N208" s="96"/>
      <c r="O208" s="96"/>
      <c r="P208" s="97"/>
      <c r="Q208" s="149"/>
    </row>
    <row r="209" spans="1:17">
      <c r="A209" s="86" t="s">
        <v>86</v>
      </c>
      <c r="B209" s="87">
        <v>58</v>
      </c>
      <c r="C209" s="88">
        <v>1.7</v>
      </c>
      <c r="D209" s="88">
        <v>2.7</v>
      </c>
      <c r="E209" s="83">
        <f>D209*C209</f>
        <v>4.59</v>
      </c>
      <c r="F209" s="89"/>
      <c r="G209" s="87"/>
      <c r="H209" s="83">
        <f t="shared" si="92"/>
        <v>4.59</v>
      </c>
      <c r="I209" s="64">
        <v>0.88300000000000001</v>
      </c>
      <c r="J209" s="64">
        <v>35</v>
      </c>
      <c r="K209" s="83">
        <f t="shared" si="90"/>
        <v>30.905000000000001</v>
      </c>
      <c r="L209" s="47">
        <f t="shared" si="91"/>
        <v>141.85395</v>
      </c>
      <c r="M209" s="52"/>
      <c r="N209" s="53"/>
      <c r="O209" s="53"/>
      <c r="P209" s="54"/>
      <c r="Q209" s="149"/>
    </row>
    <row r="210" spans="1:17">
      <c r="A210" s="86" t="s">
        <v>87</v>
      </c>
      <c r="B210" s="87"/>
      <c r="C210" s="88">
        <v>1.7</v>
      </c>
      <c r="D210" s="88">
        <v>2.7</v>
      </c>
      <c r="E210" s="83">
        <f>E209</f>
        <v>4.59</v>
      </c>
      <c r="F210" s="89"/>
      <c r="G210" s="87"/>
      <c r="H210" s="83">
        <f t="shared" si="92"/>
        <v>4.59</v>
      </c>
      <c r="I210" s="64">
        <v>1.286</v>
      </c>
      <c r="J210" s="64">
        <v>5</v>
      </c>
      <c r="K210" s="83">
        <f t="shared" si="90"/>
        <v>6.43</v>
      </c>
      <c r="L210" s="47">
        <f t="shared" si="91"/>
        <v>29.5137</v>
      </c>
      <c r="M210" s="52"/>
      <c r="N210" s="53"/>
      <c r="O210" s="53"/>
      <c r="P210" s="54"/>
      <c r="Q210" s="149"/>
    </row>
    <row r="211" spans="1:17" ht="13.5" thickBot="1">
      <c r="A211" s="42"/>
      <c r="B211" s="93"/>
      <c r="C211" s="94"/>
      <c r="D211" s="94"/>
      <c r="E211" s="90">
        <f>SUM(E203:E210)</f>
        <v>39.980000000000004</v>
      </c>
      <c r="F211" s="95"/>
      <c r="G211" s="93"/>
      <c r="H211" s="94"/>
      <c r="I211" s="94"/>
      <c r="J211" s="94"/>
      <c r="K211" s="94"/>
      <c r="L211" s="44"/>
      <c r="M211" s="50"/>
      <c r="N211" s="80"/>
      <c r="O211" s="80"/>
      <c r="P211" s="51"/>
      <c r="Q211" s="149"/>
    </row>
    <row r="212" spans="1:17" ht="14.25" thickTop="1" thickBot="1">
      <c r="A212" s="25"/>
      <c r="B212" s="152" t="s">
        <v>17</v>
      </c>
      <c r="C212" s="147"/>
      <c r="D212" s="147"/>
      <c r="E212" s="147"/>
      <c r="F212" s="153"/>
      <c r="G212" s="72"/>
      <c r="H212" s="73"/>
      <c r="I212" s="74"/>
      <c r="J212" s="84" t="s">
        <v>21</v>
      </c>
      <c r="K212" s="147">
        <f>SUM(L203:L211)</f>
        <v>867.15084999999999</v>
      </c>
      <c r="L212" s="153"/>
      <c r="M212" s="46">
        <f>0.15*N204</f>
        <v>9.2955497391552899E-2</v>
      </c>
      <c r="N212" s="83">
        <v>0</v>
      </c>
      <c r="O212" s="45">
        <v>0</v>
      </c>
      <c r="P212" s="83">
        <f>1+O212+N212+M212</f>
        <v>1.092955497391553</v>
      </c>
      <c r="Q212" s="82"/>
    </row>
    <row r="213" spans="1:17">
      <c r="A213" s="15"/>
      <c r="B213" s="33"/>
      <c r="C213" s="79" t="s">
        <v>89</v>
      </c>
      <c r="D213" s="22">
        <v>1.9000000000000001E-4</v>
      </c>
      <c r="E213" s="22" t="s">
        <v>27</v>
      </c>
      <c r="F213" s="34">
        <v>16</v>
      </c>
      <c r="G213" s="49" t="s">
        <v>25</v>
      </c>
      <c r="H213" s="137">
        <f>(0.5*H202)/3600</f>
        <v>2.0400000000000001E-3</v>
      </c>
      <c r="I213" s="138"/>
      <c r="J213" s="22"/>
      <c r="K213" s="22"/>
      <c r="L213" s="34"/>
      <c r="M213" s="22"/>
      <c r="N213" s="22"/>
      <c r="O213" s="22"/>
      <c r="P213" s="22" t="s">
        <v>24</v>
      </c>
      <c r="Q213" s="23">
        <f>K212*P212</f>
        <v>947.75728857525792</v>
      </c>
    </row>
    <row r="214" spans="1:17" ht="13.5" thickBot="1">
      <c r="A214" s="15"/>
      <c r="B214" s="33"/>
      <c r="C214" s="79" t="s">
        <v>88</v>
      </c>
      <c r="D214" s="66">
        <f>(1.2+1.2)*2</f>
        <v>4.8</v>
      </c>
      <c r="E214" s="22" t="s">
        <v>28</v>
      </c>
      <c r="F214" s="34">
        <v>0.7</v>
      </c>
      <c r="G214" s="35" t="s">
        <v>26</v>
      </c>
      <c r="H214" s="139">
        <f>((D213*D214)*F213*F214)</f>
        <v>1.02144E-2</v>
      </c>
      <c r="I214" s="140"/>
      <c r="J214" s="22"/>
      <c r="K214" s="22"/>
      <c r="L214" s="34"/>
      <c r="M214" s="22"/>
      <c r="N214" s="22"/>
      <c r="O214" s="22"/>
      <c r="P214" s="22" t="s">
        <v>29</v>
      </c>
      <c r="Q214" s="23">
        <f>1300*(H215*(N205-(N206)))</f>
        <v>464.7552</v>
      </c>
    </row>
    <row r="215" spans="1:17" ht="13.5" thickBot="1">
      <c r="A215" s="25"/>
      <c r="B215" s="36"/>
      <c r="C215" s="26"/>
      <c r="D215" s="78"/>
      <c r="E215" s="78"/>
      <c r="F215" s="40"/>
      <c r="G215" s="41" t="s">
        <v>18</v>
      </c>
      <c r="H215" s="141">
        <f>MAX(H213,H214)</f>
        <v>1.02144E-2</v>
      </c>
      <c r="I215" s="142"/>
      <c r="J215" s="78"/>
      <c r="K215" s="78"/>
      <c r="L215" s="40"/>
      <c r="M215" s="78"/>
      <c r="N215" s="78"/>
      <c r="O215" s="78"/>
      <c r="P215" s="91" t="s">
        <v>90</v>
      </c>
      <c r="Q215" s="100">
        <f>SUM(Q213:Q214)</f>
        <v>1412.512488575258</v>
      </c>
    </row>
    <row r="216" spans="1:17" ht="13.5" thickBot="1">
      <c r="A216" s="76"/>
      <c r="B216" s="76"/>
      <c r="C216" s="76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7"/>
    </row>
    <row r="217" spans="1:17" ht="13.5" thickBot="1">
      <c r="A217" s="19"/>
      <c r="B217" s="143" t="s">
        <v>117</v>
      </c>
      <c r="C217" s="144"/>
      <c r="D217" s="144"/>
      <c r="E217" s="144"/>
      <c r="F217" s="145"/>
      <c r="G217" s="60" t="s">
        <v>19</v>
      </c>
      <c r="H217" s="146">
        <f>(1.5*4.2+1.2*1.8)*3.2</f>
        <v>27.072000000000003</v>
      </c>
      <c r="I217" s="146"/>
      <c r="J217" s="59" t="s">
        <v>20</v>
      </c>
      <c r="K217" s="59"/>
      <c r="L217" s="61"/>
      <c r="M217" s="59"/>
      <c r="N217" s="59"/>
      <c r="O217" s="59"/>
      <c r="P217" s="59"/>
      <c r="Q217" s="24"/>
    </row>
    <row r="218" spans="1:17">
      <c r="A218" s="16" t="s">
        <v>32</v>
      </c>
      <c r="B218" s="67">
        <v>30</v>
      </c>
      <c r="C218" s="77">
        <v>1.375</v>
      </c>
      <c r="D218" s="77">
        <v>3.2</v>
      </c>
      <c r="E218" s="84">
        <f t="shared" ref="E218:E219" si="94">C218*D218</f>
        <v>4.4000000000000004</v>
      </c>
      <c r="F218" s="70"/>
      <c r="G218" s="67"/>
      <c r="H218" s="84">
        <f>(E218-(F218*G218))</f>
        <v>4.4000000000000004</v>
      </c>
      <c r="I218" s="77">
        <v>1.7210000000000001</v>
      </c>
      <c r="J218" s="77">
        <v>-5</v>
      </c>
      <c r="K218" s="84">
        <f t="shared" ref="K218:K226" si="95">J218*I218</f>
        <v>-8.6050000000000004</v>
      </c>
      <c r="L218" s="85">
        <f t="shared" ref="L218:L226" si="96">H218*I218*J218</f>
        <v>-37.862000000000002</v>
      </c>
      <c r="M218" s="17" t="s">
        <v>22</v>
      </c>
      <c r="N218" s="147">
        <f>E227</f>
        <v>61.080000000000005</v>
      </c>
      <c r="O218" s="147"/>
      <c r="P218" s="147"/>
      <c r="Q218" s="148"/>
    </row>
    <row r="219" spans="1:17">
      <c r="A219" s="10" t="s">
        <v>92</v>
      </c>
      <c r="B219" s="68">
        <v>30</v>
      </c>
      <c r="C219" s="64">
        <f>4.2-1.375</f>
        <v>2.8250000000000002</v>
      </c>
      <c r="D219" s="64">
        <v>3.2</v>
      </c>
      <c r="E219" s="83">
        <f t="shared" si="94"/>
        <v>9.0400000000000009</v>
      </c>
      <c r="F219" s="71">
        <v>2</v>
      </c>
      <c r="G219" s="68">
        <f>0.8*2</f>
        <v>1.6</v>
      </c>
      <c r="H219" s="83">
        <f t="shared" ref="H219:H226" si="97">(E219-(F219*G219))</f>
        <v>5.8400000000000007</v>
      </c>
      <c r="I219" s="64">
        <v>1.7210000000000001</v>
      </c>
      <c r="J219" s="64">
        <v>0</v>
      </c>
      <c r="K219" s="83">
        <f t="shared" si="95"/>
        <v>0</v>
      </c>
      <c r="L219" s="47">
        <f t="shared" si="96"/>
        <v>0</v>
      </c>
      <c r="M219" s="46" t="s">
        <v>23</v>
      </c>
      <c r="N219" s="150">
        <f>K228/(N218*(N220-N221))</f>
        <v>0.17835865531543332</v>
      </c>
      <c r="O219" s="150"/>
      <c r="P219" s="150"/>
      <c r="Q219" s="149"/>
    </row>
    <row r="220" spans="1:17">
      <c r="A220" s="10" t="s">
        <v>96</v>
      </c>
      <c r="B220" s="68">
        <v>15</v>
      </c>
      <c r="C220" s="64">
        <v>3.3</v>
      </c>
      <c r="D220" s="64">
        <v>3.2</v>
      </c>
      <c r="E220" s="83">
        <f>C220*D220</f>
        <v>10.56</v>
      </c>
      <c r="F220" s="71">
        <v>1</v>
      </c>
      <c r="G220" s="68">
        <f>0.8*2</f>
        <v>1.6</v>
      </c>
      <c r="H220" s="83">
        <f t="shared" si="97"/>
        <v>8.9600000000000009</v>
      </c>
      <c r="I220" s="64">
        <v>2.46</v>
      </c>
      <c r="J220" s="64">
        <v>-5</v>
      </c>
      <c r="K220" s="83">
        <f t="shared" si="95"/>
        <v>-12.3</v>
      </c>
      <c r="L220" s="47">
        <f t="shared" si="96"/>
        <v>-110.20800000000001</v>
      </c>
      <c r="M220" s="46" t="s">
        <v>76</v>
      </c>
      <c r="N220" s="151">
        <v>15</v>
      </c>
      <c r="O220" s="151"/>
      <c r="P220" s="151"/>
      <c r="Q220" s="149"/>
    </row>
    <row r="221" spans="1:17">
      <c r="A221" s="10" t="s">
        <v>110</v>
      </c>
      <c r="B221" s="68">
        <v>45</v>
      </c>
      <c r="C221" s="64">
        <v>1.2</v>
      </c>
      <c r="D221" s="64">
        <v>3.2</v>
      </c>
      <c r="E221" s="83">
        <f>C221*D221</f>
        <v>3.84</v>
      </c>
      <c r="F221" s="71">
        <v>1</v>
      </c>
      <c r="G221" s="68">
        <f>0.8*2</f>
        <v>1.6</v>
      </c>
      <c r="H221" s="83">
        <f t="shared" si="97"/>
        <v>2.2399999999999998</v>
      </c>
      <c r="I221" s="64">
        <v>2.46</v>
      </c>
      <c r="J221" s="64">
        <v>30</v>
      </c>
      <c r="K221" s="83">
        <f t="shared" si="95"/>
        <v>73.8</v>
      </c>
      <c r="L221" s="47">
        <f t="shared" si="96"/>
        <v>165.31199999999998</v>
      </c>
      <c r="M221" s="46" t="s">
        <v>77</v>
      </c>
      <c r="N221" s="151">
        <v>-15</v>
      </c>
      <c r="O221" s="151"/>
      <c r="P221" s="151"/>
      <c r="Q221" s="149"/>
    </row>
    <row r="222" spans="1:17">
      <c r="A222" s="10" t="s">
        <v>108</v>
      </c>
      <c r="B222" s="68">
        <v>30</v>
      </c>
      <c r="C222" s="64">
        <v>1.8</v>
      </c>
      <c r="D222" s="64">
        <v>3.2</v>
      </c>
      <c r="E222" s="83">
        <f>C222*D222</f>
        <v>5.7600000000000007</v>
      </c>
      <c r="F222" s="71"/>
      <c r="G222" s="68"/>
      <c r="H222" s="83">
        <f t="shared" ref="H222:H223" si="98">(E222-(F222*G222))</f>
        <v>5.7600000000000007</v>
      </c>
      <c r="I222" s="64">
        <v>1.7210000000000001</v>
      </c>
      <c r="J222" s="64">
        <v>-5</v>
      </c>
      <c r="K222" s="83">
        <f t="shared" ref="K222:K223" si="99">J222*I222</f>
        <v>-8.6050000000000004</v>
      </c>
      <c r="L222" s="47">
        <f t="shared" ref="L222:L223" si="100">H222*I222*J222</f>
        <v>-49.564800000000005</v>
      </c>
      <c r="M222" s="79"/>
      <c r="N222" s="96"/>
      <c r="O222" s="96"/>
      <c r="P222" s="97"/>
      <c r="Q222" s="149"/>
    </row>
    <row r="223" spans="1:17">
      <c r="A223" s="10" t="s">
        <v>111</v>
      </c>
      <c r="B223" s="68">
        <v>10</v>
      </c>
      <c r="C223" s="64">
        <v>2.8</v>
      </c>
      <c r="D223" s="64">
        <v>3.2</v>
      </c>
      <c r="E223" s="83">
        <f>C223*D223</f>
        <v>8.9599999999999991</v>
      </c>
      <c r="F223" s="71">
        <v>1</v>
      </c>
      <c r="G223" s="68">
        <f>0.6*2</f>
        <v>1.2</v>
      </c>
      <c r="H223" s="83">
        <f t="shared" si="98"/>
        <v>7.7599999999999989</v>
      </c>
      <c r="I223" s="64">
        <v>2.87</v>
      </c>
      <c r="J223" s="64">
        <v>-5</v>
      </c>
      <c r="K223" s="83">
        <f t="shared" si="99"/>
        <v>-14.350000000000001</v>
      </c>
      <c r="L223" s="47">
        <f t="shared" si="100"/>
        <v>-111.35599999999998</v>
      </c>
      <c r="M223" s="79"/>
      <c r="N223" s="96"/>
      <c r="O223" s="96"/>
      <c r="P223" s="97"/>
      <c r="Q223" s="149"/>
    </row>
    <row r="224" spans="1:17">
      <c r="A224" s="10" t="s">
        <v>118</v>
      </c>
      <c r="B224" s="68"/>
      <c r="C224" s="64">
        <v>0.8</v>
      </c>
      <c r="D224" s="64">
        <v>2</v>
      </c>
      <c r="E224" s="83">
        <f t="shared" ref="E224" si="101">C224*D224</f>
        <v>1.6</v>
      </c>
      <c r="F224" s="71"/>
      <c r="G224" s="68"/>
      <c r="H224" s="83">
        <f t="shared" si="97"/>
        <v>1.6</v>
      </c>
      <c r="I224" s="64">
        <v>4</v>
      </c>
      <c r="J224" s="64">
        <v>30</v>
      </c>
      <c r="K224" s="83">
        <f t="shared" si="95"/>
        <v>120</v>
      </c>
      <c r="L224" s="47">
        <f t="shared" si="96"/>
        <v>192</v>
      </c>
      <c r="M224" s="79"/>
      <c r="N224" s="96"/>
      <c r="O224" s="96"/>
      <c r="P224" s="97"/>
      <c r="Q224" s="149"/>
    </row>
    <row r="225" spans="1:17">
      <c r="A225" s="86" t="s">
        <v>86</v>
      </c>
      <c r="B225" s="87">
        <v>58</v>
      </c>
      <c r="C225" s="88"/>
      <c r="D225" s="88"/>
      <c r="E225" s="83">
        <f>4.2*1.5+1.2*1.8</f>
        <v>8.4600000000000009</v>
      </c>
      <c r="F225" s="89"/>
      <c r="G225" s="87"/>
      <c r="H225" s="83">
        <f t="shared" si="97"/>
        <v>8.4600000000000009</v>
      </c>
      <c r="I225" s="64">
        <v>0.88300000000000001</v>
      </c>
      <c r="J225" s="64">
        <v>30</v>
      </c>
      <c r="K225" s="83">
        <f t="shared" si="95"/>
        <v>26.490000000000002</v>
      </c>
      <c r="L225" s="47">
        <f t="shared" si="96"/>
        <v>224.10540000000003</v>
      </c>
      <c r="M225" s="52"/>
      <c r="N225" s="53"/>
      <c r="O225" s="53"/>
      <c r="P225" s="54"/>
      <c r="Q225" s="149"/>
    </row>
    <row r="226" spans="1:17">
      <c r="A226" s="86" t="s">
        <v>87</v>
      </c>
      <c r="B226" s="87"/>
      <c r="C226" s="88"/>
      <c r="D226" s="88"/>
      <c r="E226" s="83">
        <f>E225</f>
        <v>8.4600000000000009</v>
      </c>
      <c r="F226" s="89"/>
      <c r="G226" s="87"/>
      <c r="H226" s="83">
        <f t="shared" si="97"/>
        <v>8.4600000000000009</v>
      </c>
      <c r="I226" s="64">
        <v>1.286</v>
      </c>
      <c r="J226" s="64">
        <v>5</v>
      </c>
      <c r="K226" s="83">
        <f t="shared" si="95"/>
        <v>6.43</v>
      </c>
      <c r="L226" s="47">
        <f t="shared" si="96"/>
        <v>54.397800000000004</v>
      </c>
      <c r="M226" s="52"/>
      <c r="N226" s="53"/>
      <c r="O226" s="53"/>
      <c r="P226" s="54"/>
      <c r="Q226" s="149"/>
    </row>
    <row r="227" spans="1:17" ht="13.5" thickBot="1">
      <c r="A227" s="42"/>
      <c r="B227" s="93"/>
      <c r="C227" s="94"/>
      <c r="D227" s="94"/>
      <c r="E227" s="90">
        <f>SUM(E218:E226)</f>
        <v>61.080000000000005</v>
      </c>
      <c r="F227" s="95"/>
      <c r="G227" s="93"/>
      <c r="H227" s="94"/>
      <c r="I227" s="94"/>
      <c r="J227" s="94"/>
      <c r="K227" s="94"/>
      <c r="L227" s="44"/>
      <c r="M227" s="50"/>
      <c r="N227" s="80"/>
      <c r="O227" s="80"/>
      <c r="P227" s="51"/>
      <c r="Q227" s="149"/>
    </row>
    <row r="228" spans="1:17" ht="14.25" thickTop="1" thickBot="1">
      <c r="A228" s="25"/>
      <c r="B228" s="152" t="s">
        <v>17</v>
      </c>
      <c r="C228" s="147"/>
      <c r="D228" s="147"/>
      <c r="E228" s="147"/>
      <c r="F228" s="153"/>
      <c r="G228" s="72"/>
      <c r="H228" s="73"/>
      <c r="I228" s="74"/>
      <c r="J228" s="84" t="s">
        <v>21</v>
      </c>
      <c r="K228" s="147">
        <f>SUM(L218:L227)</f>
        <v>326.82440000000003</v>
      </c>
      <c r="L228" s="153"/>
      <c r="M228" s="46">
        <f>0.15*N219</f>
        <v>2.6753798297314998E-2</v>
      </c>
      <c r="N228" s="83">
        <v>0</v>
      </c>
      <c r="O228" s="45">
        <v>0</v>
      </c>
      <c r="P228" s="83">
        <f>1+O228+N228+M228</f>
        <v>1.0267537982973149</v>
      </c>
      <c r="Q228" s="82"/>
    </row>
    <row r="229" spans="1:17">
      <c r="A229" s="15"/>
      <c r="B229" s="33"/>
      <c r="C229" s="79" t="s">
        <v>89</v>
      </c>
      <c r="D229" s="22">
        <v>1.9000000000000001E-4</v>
      </c>
      <c r="E229" s="22" t="s">
        <v>27</v>
      </c>
      <c r="F229" s="34">
        <v>16</v>
      </c>
      <c r="G229" s="49" t="s">
        <v>25</v>
      </c>
      <c r="H229" s="137">
        <f>(0.5*H217)/3600</f>
        <v>3.7600000000000003E-3</v>
      </c>
      <c r="I229" s="138"/>
      <c r="J229" s="22"/>
      <c r="K229" s="22"/>
      <c r="L229" s="34"/>
      <c r="M229" s="22"/>
      <c r="N229" s="22"/>
      <c r="O229" s="22"/>
      <c r="P229" s="22" t="s">
        <v>24</v>
      </c>
      <c r="Q229" s="23">
        <f>K228*P228</f>
        <v>335.56819407624101</v>
      </c>
    </row>
    <row r="230" spans="1:17" ht="13.5" thickBot="1">
      <c r="A230" s="15"/>
      <c r="B230" s="33"/>
      <c r="C230" s="79" t="s">
        <v>88</v>
      </c>
      <c r="D230" s="66">
        <f>(0.8+2)*2</f>
        <v>5.6</v>
      </c>
      <c r="E230" s="22" t="s">
        <v>28</v>
      </c>
      <c r="F230" s="34">
        <v>0.7</v>
      </c>
      <c r="G230" s="35" t="s">
        <v>26</v>
      </c>
      <c r="H230" s="139">
        <f>((D229*D230)*F229*F230)</f>
        <v>1.19168E-2</v>
      </c>
      <c r="I230" s="140"/>
      <c r="J230" s="22"/>
      <c r="K230" s="22"/>
      <c r="L230" s="34"/>
      <c r="M230" s="22"/>
      <c r="N230" s="22"/>
      <c r="O230" s="22"/>
      <c r="P230" s="22" t="s">
        <v>29</v>
      </c>
      <c r="Q230" s="23">
        <f>1300*(H231*(N220-(N221)))</f>
        <v>464.7552</v>
      </c>
    </row>
    <row r="231" spans="1:17" ht="13.5" thickBot="1">
      <c r="A231" s="25"/>
      <c r="B231" s="36"/>
      <c r="C231" s="26"/>
      <c r="D231" s="78"/>
      <c r="E231" s="78"/>
      <c r="F231" s="40"/>
      <c r="G231" s="41" t="s">
        <v>18</v>
      </c>
      <c r="H231" s="141">
        <f>MAX(H229,H230)</f>
        <v>1.19168E-2</v>
      </c>
      <c r="I231" s="142"/>
      <c r="J231" s="78"/>
      <c r="K231" s="78"/>
      <c r="L231" s="40"/>
      <c r="M231" s="78"/>
      <c r="N231" s="78"/>
      <c r="O231" s="78"/>
      <c r="P231" s="91" t="s">
        <v>90</v>
      </c>
      <c r="Q231" s="100">
        <f>SUM(Q229:Q230)</f>
        <v>800.32339407624102</v>
      </c>
    </row>
    <row r="232" spans="1:17" ht="13.5" thickBot="1">
      <c r="A232" s="79"/>
      <c r="B232" s="79"/>
      <c r="C232" s="79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7"/>
    </row>
    <row r="233" spans="1:17" ht="13.5" thickBot="1">
      <c r="A233" s="19"/>
      <c r="B233" s="143" t="s">
        <v>119</v>
      </c>
      <c r="C233" s="144"/>
      <c r="D233" s="144"/>
      <c r="E233" s="144"/>
      <c r="F233" s="145"/>
      <c r="G233" s="60" t="s">
        <v>19</v>
      </c>
      <c r="H233" s="146">
        <f>7.1*3.3*3.2</f>
        <v>74.975999999999985</v>
      </c>
      <c r="I233" s="146"/>
      <c r="J233" s="59" t="s">
        <v>20</v>
      </c>
      <c r="K233" s="59"/>
      <c r="L233" s="61"/>
      <c r="M233" s="59"/>
      <c r="N233" s="59"/>
      <c r="O233" s="59"/>
      <c r="P233" s="59"/>
      <c r="Q233" s="24"/>
    </row>
    <row r="234" spans="1:17">
      <c r="A234" s="16" t="s">
        <v>32</v>
      </c>
      <c r="B234" s="67">
        <v>30</v>
      </c>
      <c r="C234" s="77">
        <v>7.1</v>
      </c>
      <c r="D234" s="77">
        <v>3.2</v>
      </c>
      <c r="E234" s="84">
        <f t="shared" ref="E234:E235" si="102">C234*D234</f>
        <v>22.72</v>
      </c>
      <c r="F234" s="70">
        <v>1</v>
      </c>
      <c r="G234" s="67">
        <f>0.8*2</f>
        <v>1.6</v>
      </c>
      <c r="H234" s="84">
        <f>(E234-(F234*G234))</f>
        <v>21.119999999999997</v>
      </c>
      <c r="I234" s="77">
        <v>1.7210000000000001</v>
      </c>
      <c r="J234" s="77">
        <v>0</v>
      </c>
      <c r="K234" s="84">
        <f t="shared" ref="K234:K243" si="103">J234*I234</f>
        <v>0</v>
      </c>
      <c r="L234" s="85">
        <f t="shared" ref="L234:L243" si="104">H234*I234*J234</f>
        <v>0</v>
      </c>
      <c r="M234" s="17" t="s">
        <v>22</v>
      </c>
      <c r="N234" s="147">
        <f>E244</f>
        <v>121.81999999999996</v>
      </c>
      <c r="O234" s="147"/>
      <c r="P234" s="147"/>
      <c r="Q234" s="148"/>
    </row>
    <row r="235" spans="1:17">
      <c r="A235" s="10" t="s">
        <v>31</v>
      </c>
      <c r="B235" s="68">
        <v>30</v>
      </c>
      <c r="C235" s="64">
        <v>3.3</v>
      </c>
      <c r="D235" s="64">
        <v>3.2</v>
      </c>
      <c r="E235" s="83">
        <f t="shared" si="102"/>
        <v>10.56</v>
      </c>
      <c r="F235" s="71">
        <v>1</v>
      </c>
      <c r="G235" s="68">
        <f>0.8*2</f>
        <v>1.6</v>
      </c>
      <c r="H235" s="83">
        <f t="shared" ref="H235:H243" si="105">(E235-(F235*G235))</f>
        <v>8.9600000000000009</v>
      </c>
      <c r="I235" s="64">
        <v>1.7210000000000001</v>
      </c>
      <c r="J235" s="64">
        <v>15</v>
      </c>
      <c r="K235" s="83">
        <f t="shared" si="103"/>
        <v>25.815000000000001</v>
      </c>
      <c r="L235" s="47">
        <f t="shared" si="104"/>
        <v>231.30240000000003</v>
      </c>
      <c r="M235" s="46" t="s">
        <v>23</v>
      </c>
      <c r="N235" s="150">
        <f>K245/(N234*(N236-N237))</f>
        <v>0.80458321410981093</v>
      </c>
      <c r="O235" s="150"/>
      <c r="P235" s="150"/>
      <c r="Q235" s="149"/>
    </row>
    <row r="236" spans="1:17">
      <c r="A236" s="10" t="s">
        <v>73</v>
      </c>
      <c r="B236" s="68">
        <v>45</v>
      </c>
      <c r="C236" s="64">
        <v>7.1</v>
      </c>
      <c r="D236" s="64">
        <v>3.2</v>
      </c>
      <c r="E236" s="83">
        <f>C236*D236</f>
        <v>22.72</v>
      </c>
      <c r="F236" s="71">
        <v>2</v>
      </c>
      <c r="G236" s="68">
        <f>1.5*1.2</f>
        <v>1.7999999999999998</v>
      </c>
      <c r="H236" s="83">
        <f t="shared" si="105"/>
        <v>19.119999999999997</v>
      </c>
      <c r="I236" s="64">
        <v>2.46</v>
      </c>
      <c r="J236" s="64">
        <v>35</v>
      </c>
      <c r="K236" s="83">
        <f t="shared" si="103"/>
        <v>86.1</v>
      </c>
      <c r="L236" s="47">
        <f t="shared" si="104"/>
        <v>1646.232</v>
      </c>
      <c r="M236" s="46" t="s">
        <v>76</v>
      </c>
      <c r="N236" s="151">
        <v>20</v>
      </c>
      <c r="O236" s="151"/>
      <c r="P236" s="151"/>
      <c r="Q236" s="149"/>
    </row>
    <row r="237" spans="1:17">
      <c r="A237" s="10" t="s">
        <v>110</v>
      </c>
      <c r="B237" s="68">
        <v>15</v>
      </c>
      <c r="C237" s="64">
        <v>3.3</v>
      </c>
      <c r="D237" s="64">
        <v>3.2</v>
      </c>
      <c r="E237" s="83">
        <f>C237*D237</f>
        <v>10.56</v>
      </c>
      <c r="F237" s="71">
        <v>1</v>
      </c>
      <c r="G237" s="68">
        <f>0.8*2</f>
        <v>1.6</v>
      </c>
      <c r="H237" s="83">
        <f t="shared" si="105"/>
        <v>8.9600000000000009</v>
      </c>
      <c r="I237" s="64">
        <v>2.46</v>
      </c>
      <c r="J237" s="64">
        <v>5</v>
      </c>
      <c r="K237" s="83">
        <f t="shared" si="103"/>
        <v>12.3</v>
      </c>
      <c r="L237" s="47">
        <f t="shared" si="104"/>
        <v>110.20800000000001</v>
      </c>
      <c r="M237" s="46" t="s">
        <v>77</v>
      </c>
      <c r="N237" s="151">
        <v>-15</v>
      </c>
      <c r="O237" s="151"/>
      <c r="P237" s="151"/>
      <c r="Q237" s="149"/>
    </row>
    <row r="238" spans="1:17">
      <c r="A238" s="10" t="s">
        <v>94</v>
      </c>
      <c r="B238" s="68"/>
      <c r="C238" s="64">
        <v>0.8</v>
      </c>
      <c r="D238" s="64">
        <v>2</v>
      </c>
      <c r="E238" s="83">
        <f>C238*D238</f>
        <v>1.6</v>
      </c>
      <c r="F238" s="71"/>
      <c r="G238" s="68"/>
      <c r="H238" s="83">
        <f t="shared" si="105"/>
        <v>1.6</v>
      </c>
      <c r="I238" s="64">
        <v>2</v>
      </c>
      <c r="J238" s="64">
        <v>0</v>
      </c>
      <c r="K238" s="83">
        <f t="shared" si="103"/>
        <v>0</v>
      </c>
      <c r="L238" s="47">
        <f t="shared" si="104"/>
        <v>0</v>
      </c>
      <c r="M238" s="79"/>
      <c r="N238" s="96"/>
      <c r="O238" s="96"/>
      <c r="P238" s="97"/>
      <c r="Q238" s="149"/>
    </row>
    <row r="239" spans="1:17">
      <c r="A239" s="10" t="s">
        <v>94</v>
      </c>
      <c r="B239" s="68"/>
      <c r="C239" s="64">
        <v>0.8</v>
      </c>
      <c r="D239" s="64">
        <v>2</v>
      </c>
      <c r="E239" s="83">
        <f>C239*D239</f>
        <v>1.6</v>
      </c>
      <c r="F239" s="71"/>
      <c r="G239" s="68"/>
      <c r="H239" s="83">
        <f t="shared" si="105"/>
        <v>1.6</v>
      </c>
      <c r="I239" s="64">
        <v>2</v>
      </c>
      <c r="J239" s="64">
        <v>15</v>
      </c>
      <c r="K239" s="83">
        <f t="shared" si="103"/>
        <v>30</v>
      </c>
      <c r="L239" s="47">
        <f t="shared" si="104"/>
        <v>48</v>
      </c>
      <c r="M239" s="79"/>
      <c r="N239" s="96"/>
      <c r="O239" s="96"/>
      <c r="P239" s="97"/>
      <c r="Q239" s="149"/>
    </row>
    <row r="240" spans="1:17">
      <c r="A240" s="10" t="s">
        <v>94</v>
      </c>
      <c r="B240" s="68"/>
      <c r="C240" s="64">
        <v>0.8</v>
      </c>
      <c r="D240" s="64">
        <v>2</v>
      </c>
      <c r="E240" s="83">
        <f t="shared" ref="E240" si="106">C240*D240</f>
        <v>1.6</v>
      </c>
      <c r="F240" s="71"/>
      <c r="G240" s="68"/>
      <c r="H240" s="83">
        <f t="shared" si="105"/>
        <v>1.6</v>
      </c>
      <c r="I240" s="64">
        <v>2</v>
      </c>
      <c r="J240" s="64">
        <v>5</v>
      </c>
      <c r="K240" s="83">
        <f t="shared" si="103"/>
        <v>10</v>
      </c>
      <c r="L240" s="47">
        <f t="shared" si="104"/>
        <v>16</v>
      </c>
      <c r="M240" s="79"/>
      <c r="N240" s="96"/>
      <c r="O240" s="96"/>
      <c r="P240" s="97"/>
      <c r="Q240" s="149"/>
    </row>
    <row r="241" spans="1:17">
      <c r="A241" s="10" t="s">
        <v>112</v>
      </c>
      <c r="B241" s="68"/>
      <c r="C241" s="64">
        <v>1.5</v>
      </c>
      <c r="D241" s="64">
        <v>1.2</v>
      </c>
      <c r="E241" s="83">
        <f>C241*D241*2</f>
        <v>3.5999999999999996</v>
      </c>
      <c r="F241" s="71"/>
      <c r="G241" s="68"/>
      <c r="H241" s="83">
        <f t="shared" ref="H241" si="107">(E241-(F241*G241))</f>
        <v>3.5999999999999996</v>
      </c>
      <c r="I241" s="64">
        <v>4</v>
      </c>
      <c r="J241" s="64">
        <v>35</v>
      </c>
      <c r="K241" s="83">
        <f t="shared" ref="K241" si="108">J241*I241</f>
        <v>140</v>
      </c>
      <c r="L241" s="47">
        <f t="shared" ref="L241" si="109">H241*I241*J241</f>
        <v>503.99999999999994</v>
      </c>
      <c r="M241" s="79"/>
      <c r="N241" s="96"/>
      <c r="O241" s="96"/>
      <c r="P241" s="97"/>
      <c r="Q241" s="149"/>
    </row>
    <row r="242" spans="1:17">
      <c r="A242" s="86" t="s">
        <v>86</v>
      </c>
      <c r="B242" s="87">
        <v>58</v>
      </c>
      <c r="C242" s="88">
        <v>3.3</v>
      </c>
      <c r="D242" s="88">
        <v>7.1</v>
      </c>
      <c r="E242" s="83">
        <f>D242*C242</f>
        <v>23.429999999999996</v>
      </c>
      <c r="F242" s="89"/>
      <c r="G242" s="87"/>
      <c r="H242" s="83">
        <f t="shared" si="105"/>
        <v>23.429999999999996</v>
      </c>
      <c r="I242" s="64">
        <v>0.88300000000000001</v>
      </c>
      <c r="J242" s="64">
        <v>35</v>
      </c>
      <c r="K242" s="83">
        <f t="shared" si="103"/>
        <v>30.905000000000001</v>
      </c>
      <c r="L242" s="47">
        <f t="shared" si="104"/>
        <v>724.10414999999989</v>
      </c>
      <c r="M242" s="52"/>
      <c r="N242" s="53"/>
      <c r="O242" s="53"/>
      <c r="P242" s="54"/>
      <c r="Q242" s="149"/>
    </row>
    <row r="243" spans="1:17">
      <c r="A243" s="86" t="s">
        <v>87</v>
      </c>
      <c r="B243" s="87"/>
      <c r="C243" s="88">
        <v>3.3</v>
      </c>
      <c r="D243" s="88">
        <v>7.1</v>
      </c>
      <c r="E243" s="83">
        <f>E242</f>
        <v>23.429999999999996</v>
      </c>
      <c r="F243" s="89"/>
      <c r="G243" s="87"/>
      <c r="H243" s="83">
        <f t="shared" si="105"/>
        <v>23.429999999999996</v>
      </c>
      <c r="I243" s="64">
        <v>1.286</v>
      </c>
      <c r="J243" s="64">
        <v>5</v>
      </c>
      <c r="K243" s="83">
        <f t="shared" si="103"/>
        <v>6.43</v>
      </c>
      <c r="L243" s="47">
        <f t="shared" si="104"/>
        <v>150.6549</v>
      </c>
      <c r="M243" s="52"/>
      <c r="N243" s="53"/>
      <c r="O243" s="53"/>
      <c r="P243" s="54"/>
      <c r="Q243" s="149"/>
    </row>
    <row r="244" spans="1:17" ht="13.5" thickBot="1">
      <c r="A244" s="42"/>
      <c r="B244" s="93"/>
      <c r="C244" s="94"/>
      <c r="D244" s="94"/>
      <c r="E244" s="90">
        <f>SUM(E234:E243)</f>
        <v>121.81999999999996</v>
      </c>
      <c r="F244" s="95"/>
      <c r="G244" s="93"/>
      <c r="H244" s="94"/>
      <c r="I244" s="94"/>
      <c r="J244" s="94"/>
      <c r="K244" s="94"/>
      <c r="L244" s="44"/>
      <c r="M244" s="50"/>
      <c r="N244" s="80"/>
      <c r="O244" s="80"/>
      <c r="P244" s="51"/>
      <c r="Q244" s="149"/>
    </row>
    <row r="245" spans="1:17" ht="14.25" thickTop="1" thickBot="1">
      <c r="A245" s="25"/>
      <c r="B245" s="152" t="s">
        <v>17</v>
      </c>
      <c r="C245" s="147"/>
      <c r="D245" s="147"/>
      <c r="E245" s="147"/>
      <c r="F245" s="153"/>
      <c r="G245" s="72"/>
      <c r="H245" s="73"/>
      <c r="I245" s="74"/>
      <c r="J245" s="84" t="s">
        <v>21</v>
      </c>
      <c r="K245" s="147">
        <f>SUM(L234:L244)</f>
        <v>3430.5014500000002</v>
      </c>
      <c r="L245" s="153"/>
      <c r="M245" s="46">
        <f>0.15*N235</f>
        <v>0.12068748211647164</v>
      </c>
      <c r="N245" s="83">
        <v>0</v>
      </c>
      <c r="O245" s="45">
        <v>0</v>
      </c>
      <c r="P245" s="83">
        <f>1+O245+N245+M245</f>
        <v>1.1206874821164716</v>
      </c>
      <c r="Q245" s="82"/>
    </row>
    <row r="246" spans="1:17">
      <c r="A246" s="15"/>
      <c r="B246" s="33"/>
      <c r="C246" s="79" t="s">
        <v>89</v>
      </c>
      <c r="D246" s="22">
        <v>1.9000000000000001E-4</v>
      </c>
      <c r="E246" s="22" t="s">
        <v>27</v>
      </c>
      <c r="F246" s="34">
        <v>16</v>
      </c>
      <c r="G246" s="49" t="s">
        <v>25</v>
      </c>
      <c r="H246" s="137">
        <f>(0.5*H233)/3600</f>
        <v>1.0413333333333332E-2</v>
      </c>
      <c r="I246" s="138"/>
      <c r="J246" s="22"/>
      <c r="K246" s="22"/>
      <c r="L246" s="34"/>
      <c r="M246" s="22"/>
      <c r="N246" s="22"/>
      <c r="O246" s="22"/>
      <c r="P246" s="22" t="s">
        <v>24</v>
      </c>
      <c r="Q246" s="23">
        <f>K245*P245</f>
        <v>3844.520032397405</v>
      </c>
    </row>
    <row r="247" spans="1:17" ht="13.5" thickBot="1">
      <c r="A247" s="15"/>
      <c r="B247" s="33"/>
      <c r="C247" s="79" t="s">
        <v>88</v>
      </c>
      <c r="D247" s="66">
        <f>(1.5+1.2)*2*2</f>
        <v>10.8</v>
      </c>
      <c r="E247" s="22" t="s">
        <v>28</v>
      </c>
      <c r="F247" s="34">
        <v>0.7</v>
      </c>
      <c r="G247" s="35" t="s">
        <v>26</v>
      </c>
      <c r="H247" s="139">
        <f>((D246*D247)*F246*F247)</f>
        <v>2.2982400000000004E-2</v>
      </c>
      <c r="I247" s="140"/>
      <c r="J247" s="22"/>
      <c r="K247" s="22"/>
      <c r="L247" s="34"/>
      <c r="M247" s="22"/>
      <c r="N247" s="22"/>
      <c r="O247" s="22"/>
      <c r="P247" s="22" t="s">
        <v>29</v>
      </c>
      <c r="Q247" s="23">
        <f>1300*(H248*(N236-(N237)))</f>
        <v>1045.6992</v>
      </c>
    </row>
    <row r="248" spans="1:17" ht="13.5" thickBot="1">
      <c r="A248" s="25"/>
      <c r="B248" s="36"/>
      <c r="C248" s="26"/>
      <c r="D248" s="78"/>
      <c r="E248" s="78"/>
      <c r="F248" s="40"/>
      <c r="G248" s="41" t="s">
        <v>18</v>
      </c>
      <c r="H248" s="141">
        <f>MAX(H246,H247)</f>
        <v>2.2982400000000004E-2</v>
      </c>
      <c r="I248" s="142"/>
      <c r="J248" s="78"/>
      <c r="K248" s="78"/>
      <c r="L248" s="40"/>
      <c r="M248" s="78"/>
      <c r="N248" s="78"/>
      <c r="O248" s="78"/>
      <c r="P248" s="91" t="s">
        <v>90</v>
      </c>
      <c r="Q248" s="100">
        <f>SUM(Q246:Q247)</f>
        <v>4890.219232397405</v>
      </c>
    </row>
    <row r="249" spans="1:17">
      <c r="A249" s="79"/>
      <c r="B249" s="79"/>
      <c r="C249" s="79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7"/>
    </row>
    <row r="250" spans="1:17">
      <c r="A250" s="136" t="s">
        <v>122</v>
      </c>
      <c r="B250" s="134" t="s">
        <v>123</v>
      </c>
      <c r="C250" s="135"/>
      <c r="D250" s="135"/>
      <c r="E250" s="135"/>
      <c r="F250" s="135"/>
      <c r="G250" s="133" t="s">
        <v>128</v>
      </c>
      <c r="H250" s="130" t="s">
        <v>124</v>
      </c>
      <c r="I250" s="130"/>
      <c r="J250" s="130" t="s">
        <v>125</v>
      </c>
      <c r="K250" s="130"/>
      <c r="L250" s="130"/>
      <c r="M250" s="130"/>
      <c r="N250" s="130"/>
      <c r="O250" s="130"/>
      <c r="P250" s="130"/>
      <c r="Q250" s="99"/>
    </row>
    <row r="251" spans="1:17" ht="25.5" customHeight="1">
      <c r="A251" s="136"/>
      <c r="B251" s="135"/>
      <c r="C251" s="135"/>
      <c r="D251" s="135"/>
      <c r="E251" s="135"/>
      <c r="F251" s="135"/>
      <c r="G251" s="133"/>
      <c r="H251" s="132"/>
      <c r="I251" s="132"/>
      <c r="J251" s="130" t="s">
        <v>127</v>
      </c>
      <c r="K251" s="130"/>
      <c r="L251" s="130"/>
      <c r="M251" s="130"/>
      <c r="N251" s="130"/>
      <c r="O251" s="130" t="s">
        <v>126</v>
      </c>
      <c r="P251" s="130"/>
      <c r="Q251" s="166" t="s">
        <v>202</v>
      </c>
    </row>
    <row r="252" spans="1:17">
      <c r="A252" s="167" t="s">
        <v>120</v>
      </c>
      <c r="B252" s="134" t="s">
        <v>121</v>
      </c>
      <c r="C252" s="134"/>
      <c r="D252" s="134"/>
      <c r="E252" s="134"/>
      <c r="F252" s="134"/>
      <c r="G252" s="130">
        <v>5</v>
      </c>
      <c r="H252" s="168">
        <f>Q24</f>
        <v>5897.552649399674</v>
      </c>
      <c r="I252" s="168"/>
      <c r="J252" s="130" t="s">
        <v>203</v>
      </c>
      <c r="K252" s="130"/>
      <c r="L252" s="130"/>
      <c r="M252" s="130"/>
      <c r="N252" s="130"/>
      <c r="O252" s="131">
        <v>2</v>
      </c>
      <c r="P252" s="131"/>
      <c r="Q252" s="27">
        <f>O252*2641</f>
        <v>5282</v>
      </c>
    </row>
    <row r="253" spans="1:17">
      <c r="A253" s="167"/>
      <c r="B253" s="135"/>
      <c r="C253" s="135"/>
      <c r="D253" s="135"/>
      <c r="E253" s="135"/>
      <c r="F253" s="135"/>
      <c r="G253" s="132"/>
      <c r="H253" s="168"/>
      <c r="I253" s="168"/>
      <c r="J253" s="130" t="s">
        <v>204</v>
      </c>
      <c r="K253" s="130"/>
      <c r="L253" s="130"/>
      <c r="M253" s="130"/>
      <c r="N253" s="130"/>
      <c r="O253" s="131">
        <v>2</v>
      </c>
      <c r="P253" s="131"/>
      <c r="Q253" s="27">
        <f>O253*1016</f>
        <v>2032</v>
      </c>
    </row>
    <row r="254" spans="1:17">
      <c r="A254" s="98" t="s">
        <v>129</v>
      </c>
      <c r="B254" s="128" t="s">
        <v>130</v>
      </c>
      <c r="C254" s="116"/>
      <c r="D254" s="116"/>
      <c r="E254" s="116"/>
      <c r="F254" s="116"/>
      <c r="G254" s="22">
        <v>5</v>
      </c>
      <c r="H254" s="129">
        <f>Q42</f>
        <v>13364.871803782762</v>
      </c>
      <c r="I254" s="129"/>
      <c r="J254" s="130" t="s">
        <v>205</v>
      </c>
      <c r="K254" s="130"/>
      <c r="L254" s="130"/>
      <c r="M254" s="130"/>
      <c r="N254" s="130"/>
      <c r="O254" s="131">
        <v>8</v>
      </c>
      <c r="P254" s="131"/>
      <c r="Q254" s="27">
        <f>O254*1850</f>
        <v>14800</v>
      </c>
    </row>
    <row r="255" spans="1:17">
      <c r="A255" s="98" t="s">
        <v>131</v>
      </c>
      <c r="B255" s="128" t="s">
        <v>144</v>
      </c>
      <c r="C255" s="116"/>
      <c r="D255" s="116"/>
      <c r="E255" s="116"/>
      <c r="F255" s="116"/>
      <c r="G255" s="22">
        <v>20</v>
      </c>
      <c r="H255" s="129">
        <f>Q57</f>
        <v>3813.1146980692529</v>
      </c>
      <c r="I255" s="129"/>
      <c r="J255" s="130" t="s">
        <v>206</v>
      </c>
      <c r="K255" s="130"/>
      <c r="L255" s="130"/>
      <c r="M255" s="130"/>
      <c r="N255" s="130"/>
      <c r="O255" s="131">
        <v>1</v>
      </c>
      <c r="P255" s="131"/>
      <c r="Q255" s="27">
        <f>O255*3850</f>
        <v>3850</v>
      </c>
    </row>
    <row r="256" spans="1:17">
      <c r="A256" s="98" t="s">
        <v>132</v>
      </c>
      <c r="B256" s="128" t="s">
        <v>145</v>
      </c>
      <c r="C256" s="116"/>
      <c r="D256" s="116"/>
      <c r="E256" s="116"/>
      <c r="F256" s="116"/>
      <c r="G256" s="22">
        <v>20</v>
      </c>
      <c r="H256" s="129">
        <f>Q74</f>
        <v>1241.3507164975506</v>
      </c>
      <c r="I256" s="129"/>
      <c r="J256" s="130" t="s">
        <v>207</v>
      </c>
      <c r="K256" s="130"/>
      <c r="L256" s="130"/>
      <c r="M256" s="130"/>
      <c r="N256" s="130"/>
      <c r="O256" s="131">
        <v>1</v>
      </c>
      <c r="P256" s="131"/>
      <c r="Q256" s="27">
        <f>O256*1452</f>
        <v>1452</v>
      </c>
    </row>
    <row r="257" spans="1:17">
      <c r="A257" s="98" t="s">
        <v>133</v>
      </c>
      <c r="B257" s="128" t="s">
        <v>146</v>
      </c>
      <c r="C257" s="116"/>
      <c r="D257" s="116"/>
      <c r="E257" s="116"/>
      <c r="F257" s="116"/>
      <c r="G257" s="22">
        <v>24</v>
      </c>
      <c r="H257" s="129">
        <f>Q88</f>
        <v>1525.0596939151183</v>
      </c>
      <c r="I257" s="129"/>
      <c r="J257" s="130" t="s">
        <v>208</v>
      </c>
      <c r="K257" s="130"/>
      <c r="L257" s="130"/>
      <c r="M257" s="130"/>
      <c r="N257" s="130"/>
      <c r="O257" s="131">
        <v>1</v>
      </c>
      <c r="P257" s="131"/>
      <c r="Q257" s="27">
        <f>O257*1619</f>
        <v>1619</v>
      </c>
    </row>
    <row r="258" spans="1:17">
      <c r="A258" s="98" t="s">
        <v>134</v>
      </c>
      <c r="B258" s="128" t="s">
        <v>147</v>
      </c>
      <c r="C258" s="116"/>
      <c r="D258" s="116"/>
      <c r="E258" s="116"/>
      <c r="F258" s="116"/>
      <c r="G258" s="22">
        <v>20</v>
      </c>
      <c r="H258" s="129">
        <f>Q103</f>
        <v>549.94676594180942</v>
      </c>
      <c r="I258" s="129"/>
      <c r="J258" s="130" t="s">
        <v>209</v>
      </c>
      <c r="K258" s="130"/>
      <c r="L258" s="130"/>
      <c r="M258" s="130"/>
      <c r="N258" s="130"/>
      <c r="O258" s="131">
        <v>1</v>
      </c>
      <c r="P258" s="131"/>
      <c r="Q258" s="27">
        <f>O258*632</f>
        <v>632</v>
      </c>
    </row>
    <row r="259" spans="1:17">
      <c r="A259" s="98" t="s">
        <v>135</v>
      </c>
      <c r="B259" s="128" t="s">
        <v>148</v>
      </c>
      <c r="C259" s="116"/>
      <c r="D259" s="116"/>
      <c r="E259" s="116"/>
      <c r="F259" s="116"/>
      <c r="G259" s="22">
        <v>15</v>
      </c>
      <c r="H259" s="129">
        <f>Q118</f>
        <v>-3.31039021694599</v>
      </c>
      <c r="I259" s="129"/>
      <c r="J259" s="130"/>
      <c r="K259" s="130"/>
      <c r="L259" s="130"/>
      <c r="M259" s="130"/>
      <c r="N259" s="130"/>
      <c r="O259" s="131"/>
      <c r="P259" s="131"/>
      <c r="Q259" s="27"/>
    </row>
    <row r="260" spans="1:17">
      <c r="A260" s="98" t="s">
        <v>136</v>
      </c>
      <c r="B260" s="128" t="s">
        <v>149</v>
      </c>
      <c r="C260" s="116"/>
      <c r="D260" s="116"/>
      <c r="E260" s="116"/>
      <c r="F260" s="116"/>
      <c r="G260" s="22">
        <v>15</v>
      </c>
      <c r="H260" s="129">
        <f>Q134</f>
        <v>-89.559865653325701</v>
      </c>
      <c r="I260" s="129"/>
      <c r="J260" s="130"/>
      <c r="K260" s="130"/>
      <c r="L260" s="130"/>
      <c r="M260" s="130"/>
      <c r="N260" s="130"/>
      <c r="O260" s="131"/>
      <c r="P260" s="131"/>
      <c r="Q260" s="27"/>
    </row>
    <row r="261" spans="1:17">
      <c r="A261" s="98" t="s">
        <v>137</v>
      </c>
      <c r="B261" s="128" t="s">
        <v>150</v>
      </c>
      <c r="C261" s="116"/>
      <c r="D261" s="116"/>
      <c r="E261" s="116"/>
      <c r="F261" s="116"/>
      <c r="G261" s="22">
        <v>20</v>
      </c>
      <c r="H261" s="129">
        <f>Q150</f>
        <v>1270.6578135635555</v>
      </c>
      <c r="I261" s="129"/>
      <c r="J261" s="130" t="s">
        <v>210</v>
      </c>
      <c r="K261" s="130"/>
      <c r="L261" s="130"/>
      <c r="M261" s="130"/>
      <c r="N261" s="130"/>
      <c r="O261" s="131">
        <v>1</v>
      </c>
      <c r="P261" s="131"/>
      <c r="Q261" s="27">
        <f>O261*1307</f>
        <v>1307</v>
      </c>
    </row>
    <row r="262" spans="1:17">
      <c r="A262" s="98" t="s">
        <v>138</v>
      </c>
      <c r="B262" s="128" t="s">
        <v>151</v>
      </c>
      <c r="C262" s="116"/>
      <c r="D262" s="116"/>
      <c r="E262" s="116"/>
      <c r="F262" s="116"/>
      <c r="G262" s="22">
        <v>24</v>
      </c>
      <c r="H262" s="129">
        <f>Q165</f>
        <v>2492.7081937721041</v>
      </c>
      <c r="I262" s="129"/>
      <c r="J262" s="130" t="s">
        <v>210</v>
      </c>
      <c r="K262" s="130"/>
      <c r="L262" s="130"/>
      <c r="M262" s="130"/>
      <c r="N262" s="130"/>
      <c r="O262" s="131">
        <v>2</v>
      </c>
      <c r="P262" s="131"/>
      <c r="Q262" s="27">
        <f>O262*1307</f>
        <v>2614</v>
      </c>
    </row>
    <row r="263" spans="1:17">
      <c r="A263" s="98" t="s">
        <v>139</v>
      </c>
      <c r="B263" s="128" t="s">
        <v>152</v>
      </c>
      <c r="C263" s="116"/>
      <c r="D263" s="116"/>
      <c r="E263" s="116"/>
      <c r="F263" s="116"/>
      <c r="G263" s="22">
        <v>20</v>
      </c>
      <c r="H263" s="129">
        <f>Q183</f>
        <v>1575.9402507397481</v>
      </c>
      <c r="I263" s="129"/>
      <c r="J263" s="130" t="s">
        <v>211</v>
      </c>
      <c r="K263" s="130"/>
      <c r="L263" s="130"/>
      <c r="M263" s="130"/>
      <c r="N263" s="130"/>
      <c r="O263" s="131">
        <v>1</v>
      </c>
      <c r="P263" s="131"/>
      <c r="Q263" s="27">
        <f>O263*1597</f>
        <v>1597</v>
      </c>
    </row>
    <row r="264" spans="1:17">
      <c r="A264" s="167" t="s">
        <v>140</v>
      </c>
      <c r="B264" s="134" t="s">
        <v>153</v>
      </c>
      <c r="C264" s="134"/>
      <c r="D264" s="134"/>
      <c r="E264" s="134"/>
      <c r="F264" s="134"/>
      <c r="G264" s="130">
        <v>20</v>
      </c>
      <c r="H264" s="168">
        <f>Q200</f>
        <v>3727.9698539214473</v>
      </c>
      <c r="I264" s="168"/>
      <c r="J264" s="130" t="s">
        <v>203</v>
      </c>
      <c r="K264" s="130"/>
      <c r="L264" s="130"/>
      <c r="M264" s="130"/>
      <c r="N264" s="130"/>
      <c r="O264" s="131">
        <v>1</v>
      </c>
      <c r="P264" s="131"/>
      <c r="Q264" s="27">
        <f>O264*2614</f>
        <v>2614</v>
      </c>
    </row>
    <row r="265" spans="1:17">
      <c r="A265" s="167"/>
      <c r="B265" s="135"/>
      <c r="C265" s="135"/>
      <c r="D265" s="135"/>
      <c r="E265" s="135"/>
      <c r="F265" s="135"/>
      <c r="G265" s="132"/>
      <c r="H265" s="168"/>
      <c r="I265" s="168"/>
      <c r="J265" s="130" t="s">
        <v>207</v>
      </c>
      <c r="K265" s="130"/>
      <c r="L265" s="130"/>
      <c r="M265" s="130"/>
      <c r="N265" s="130"/>
      <c r="O265" s="131">
        <v>1</v>
      </c>
      <c r="P265" s="131"/>
      <c r="Q265" s="27">
        <f>O265*1452</f>
        <v>1452</v>
      </c>
    </row>
    <row r="266" spans="1:17">
      <c r="A266" s="98" t="s">
        <v>141</v>
      </c>
      <c r="B266" s="128" t="s">
        <v>154</v>
      </c>
      <c r="C266" s="116"/>
      <c r="D266" s="116"/>
      <c r="E266" s="116"/>
      <c r="F266" s="116"/>
      <c r="G266" s="22">
        <v>20</v>
      </c>
      <c r="H266" s="129">
        <f>Q215</f>
        <v>1412.512488575258</v>
      </c>
      <c r="I266" s="129"/>
      <c r="J266" s="130" t="s">
        <v>207</v>
      </c>
      <c r="K266" s="130"/>
      <c r="L266" s="130"/>
      <c r="M266" s="130"/>
      <c r="N266" s="130"/>
      <c r="O266" s="131">
        <v>1</v>
      </c>
      <c r="P266" s="131"/>
      <c r="Q266" s="27">
        <f>O266*1452</f>
        <v>1452</v>
      </c>
    </row>
    <row r="267" spans="1:17">
      <c r="A267" s="98" t="s">
        <v>142</v>
      </c>
      <c r="B267" s="128" t="s">
        <v>155</v>
      </c>
      <c r="C267" s="116"/>
      <c r="D267" s="116"/>
      <c r="E267" s="116"/>
      <c r="F267" s="116"/>
      <c r="G267" s="22">
        <v>15</v>
      </c>
      <c r="H267" s="129">
        <f>Q231</f>
        <v>800.32339407624102</v>
      </c>
      <c r="I267" s="129"/>
      <c r="J267" s="130" t="s">
        <v>212</v>
      </c>
      <c r="K267" s="130"/>
      <c r="L267" s="130"/>
      <c r="M267" s="130"/>
      <c r="N267" s="130"/>
      <c r="O267" s="131">
        <v>1</v>
      </c>
      <c r="P267" s="131"/>
      <c r="Q267" s="27">
        <f>O267*871</f>
        <v>871</v>
      </c>
    </row>
    <row r="268" spans="1:17">
      <c r="A268" s="98" t="s">
        <v>143</v>
      </c>
      <c r="B268" s="128" t="s">
        <v>156</v>
      </c>
      <c r="C268" s="116"/>
      <c r="D268" s="116"/>
      <c r="E268" s="116"/>
      <c r="F268" s="116"/>
      <c r="G268" s="22">
        <v>20</v>
      </c>
      <c r="H268" s="129">
        <f>Q248</f>
        <v>4890.219232397405</v>
      </c>
      <c r="I268" s="129"/>
      <c r="J268" s="130" t="s">
        <v>213</v>
      </c>
      <c r="K268" s="130"/>
      <c r="L268" s="130"/>
      <c r="M268" s="130"/>
      <c r="N268" s="130"/>
      <c r="O268" s="131">
        <v>2</v>
      </c>
      <c r="P268" s="131"/>
      <c r="Q268" s="27">
        <f>O268*2686</f>
        <v>5372</v>
      </c>
    </row>
    <row r="269" spans="1:17">
      <c r="A269" s="98"/>
      <c r="B269" s="128"/>
      <c r="C269" s="116"/>
      <c r="D269" s="116"/>
      <c r="E269" s="116"/>
      <c r="F269" s="116"/>
      <c r="G269" s="22">
        <f>AVERAGE(G252:G268)</f>
        <v>17.533333333333335</v>
      </c>
      <c r="H269" s="170">
        <f>SUM(H252:I268)</f>
        <v>42469.357298781659</v>
      </c>
      <c r="I269" s="170"/>
      <c r="J269" s="130"/>
      <c r="K269" s="130"/>
      <c r="L269" s="130"/>
      <c r="M269" s="130"/>
      <c r="N269" s="130"/>
      <c r="O269" s="131"/>
      <c r="P269" s="131"/>
      <c r="Q269" s="169">
        <f>SUM(Q252:Q268)</f>
        <v>46946</v>
      </c>
    </row>
    <row r="270" spans="1:17">
      <c r="A270" s="98"/>
      <c r="B270" s="128"/>
      <c r="C270" s="116"/>
      <c r="D270" s="116"/>
      <c r="E270" s="116"/>
      <c r="F270" s="116"/>
      <c r="G270" s="22"/>
      <c r="H270" s="129"/>
      <c r="I270" s="129"/>
      <c r="J270" s="130"/>
      <c r="K270" s="130"/>
      <c r="L270" s="130"/>
      <c r="M270" s="130"/>
      <c r="N270" s="130"/>
      <c r="O270" s="131"/>
      <c r="P270" s="131"/>
      <c r="Q270" s="27"/>
    </row>
    <row r="271" spans="1:17">
      <c r="A271" s="98"/>
      <c r="B271" s="128"/>
      <c r="C271" s="116"/>
      <c r="D271" s="116"/>
      <c r="E271" s="116"/>
      <c r="F271" s="116"/>
      <c r="G271" s="22"/>
      <c r="H271" s="129"/>
      <c r="I271" s="129"/>
      <c r="J271" s="130"/>
      <c r="K271" s="130"/>
      <c r="L271" s="130"/>
      <c r="M271" s="130"/>
      <c r="N271" s="130"/>
      <c r="O271" s="131"/>
      <c r="P271" s="131"/>
      <c r="Q271" s="27"/>
    </row>
    <row r="272" spans="1:17">
      <c r="A272" s="98"/>
      <c r="B272" s="128"/>
      <c r="C272" s="116"/>
      <c r="D272" s="116"/>
      <c r="E272" s="116"/>
      <c r="F272" s="116"/>
      <c r="G272" s="22"/>
      <c r="H272" s="129"/>
      <c r="I272" s="129"/>
      <c r="J272" s="130"/>
      <c r="K272" s="130"/>
      <c r="L272" s="130"/>
      <c r="M272" s="130"/>
      <c r="N272" s="130"/>
      <c r="O272" s="131"/>
      <c r="P272" s="131"/>
      <c r="Q272" s="27"/>
    </row>
    <row r="273" spans="1:17">
      <c r="A273" s="98"/>
      <c r="B273" s="128"/>
      <c r="C273" s="116"/>
      <c r="D273" s="116"/>
      <c r="E273" s="116"/>
      <c r="F273" s="116"/>
      <c r="G273" s="22"/>
      <c r="H273" s="129"/>
      <c r="I273" s="129"/>
      <c r="J273" s="130"/>
      <c r="K273" s="130"/>
      <c r="L273" s="130"/>
      <c r="M273" s="130"/>
      <c r="N273" s="130"/>
      <c r="O273" s="131"/>
      <c r="P273" s="131"/>
      <c r="Q273" s="27"/>
    </row>
    <row r="274" spans="1:17">
      <c r="A274" s="98"/>
      <c r="B274" s="128"/>
      <c r="C274" s="116"/>
      <c r="D274" s="116"/>
      <c r="E274" s="116"/>
      <c r="F274" s="116"/>
      <c r="G274" s="22"/>
      <c r="H274" s="129"/>
      <c r="I274" s="129"/>
      <c r="J274" s="130"/>
      <c r="K274" s="130"/>
      <c r="L274" s="130"/>
      <c r="M274" s="130"/>
      <c r="N274" s="130"/>
      <c r="O274" s="131"/>
      <c r="P274" s="131"/>
      <c r="Q274" s="27"/>
    </row>
    <row r="275" spans="1:17">
      <c r="A275" s="98"/>
      <c r="B275" s="76"/>
      <c r="C275" s="76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7"/>
    </row>
    <row r="276" spans="1:17">
      <c r="A276" s="98"/>
      <c r="B276" s="76"/>
      <c r="C276" s="76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7"/>
    </row>
    <row r="277" spans="1:17">
      <c r="A277" s="98"/>
      <c r="B277" s="79"/>
      <c r="C277" s="79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7"/>
    </row>
    <row r="278" spans="1:17">
      <c r="A278" s="98"/>
      <c r="B278" s="79"/>
      <c r="C278" s="79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7"/>
    </row>
    <row r="279" spans="1:17">
      <c r="A279" s="98"/>
      <c r="B279" s="79"/>
      <c r="C279" s="79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7"/>
    </row>
    <row r="280" spans="1:17">
      <c r="A280" s="98"/>
      <c r="B280" s="79"/>
      <c r="C280" s="79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7"/>
    </row>
    <row r="281" spans="1:17">
      <c r="A281" s="98"/>
      <c r="B281" s="79"/>
      <c r="C281" s="79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7"/>
    </row>
    <row r="282" spans="1:17">
      <c r="A282" s="98"/>
      <c r="B282" s="79"/>
      <c r="C282" s="79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7"/>
    </row>
    <row r="283" spans="1:17">
      <c r="A283" s="98"/>
      <c r="B283" s="79"/>
      <c r="C283" s="79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7"/>
    </row>
    <row r="284" spans="1:17">
      <c r="A284" s="98"/>
      <c r="B284" s="79"/>
      <c r="C284" s="79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7"/>
    </row>
    <row r="285" spans="1:17">
      <c r="A285" s="98"/>
      <c r="B285" s="79"/>
      <c r="C285" s="79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7"/>
    </row>
    <row r="286" spans="1:17">
      <c r="A286" s="98"/>
      <c r="B286" s="79"/>
      <c r="C286" s="79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7"/>
    </row>
    <row r="287" spans="1:17">
      <c r="A287" s="98"/>
      <c r="B287" s="76"/>
      <c r="C287" s="76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7"/>
    </row>
    <row r="288" spans="1:17">
      <c r="A288" s="98"/>
      <c r="B288" s="76"/>
      <c r="C288" s="76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7"/>
    </row>
    <row r="289" spans="1:17">
      <c r="A289" s="76"/>
      <c r="B289" s="76"/>
      <c r="C289" s="76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7"/>
    </row>
    <row r="290" spans="1:17">
      <c r="A290" s="76"/>
      <c r="B290" s="76"/>
      <c r="C290" s="76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7"/>
    </row>
    <row r="291" spans="1:17">
      <c r="A291" s="1"/>
    </row>
    <row r="292" spans="1:17" s="102" customFormat="1" ht="11.25">
      <c r="A292" s="109"/>
      <c r="B292" s="110" t="s">
        <v>178</v>
      </c>
      <c r="C292" s="127" t="s">
        <v>179</v>
      </c>
      <c r="D292" s="127"/>
      <c r="E292" s="127"/>
      <c r="F292" s="110"/>
      <c r="G292" s="110" t="s">
        <v>178</v>
      </c>
      <c r="H292" s="127" t="s">
        <v>179</v>
      </c>
      <c r="I292" s="127"/>
      <c r="J292" s="127"/>
      <c r="K292" s="110"/>
      <c r="L292" s="111" t="s">
        <v>178</v>
      </c>
      <c r="M292" s="127" t="s">
        <v>179</v>
      </c>
      <c r="N292" s="127"/>
      <c r="O292" s="127"/>
      <c r="P292" s="110"/>
    </row>
    <row r="293" spans="1:17">
      <c r="A293" s="1"/>
      <c r="B293" s="101" t="s">
        <v>36</v>
      </c>
      <c r="C293" s="115" t="s">
        <v>37</v>
      </c>
      <c r="D293" s="115"/>
      <c r="E293" s="115"/>
      <c r="F293" s="108"/>
      <c r="G293" s="101" t="s">
        <v>100</v>
      </c>
      <c r="H293" s="115" t="s">
        <v>169</v>
      </c>
      <c r="I293" s="115"/>
      <c r="J293" s="115"/>
      <c r="K293" s="102"/>
      <c r="L293" s="103" t="s">
        <v>103</v>
      </c>
      <c r="M293" s="115" t="s">
        <v>175</v>
      </c>
      <c r="N293" s="115"/>
      <c r="O293" s="115"/>
      <c r="P293" s="102"/>
      <c r="Q293" s="102"/>
    </row>
    <row r="294" spans="1:17">
      <c r="A294" s="1"/>
      <c r="B294" s="101" t="s">
        <v>38</v>
      </c>
      <c r="C294" s="115" t="s">
        <v>39</v>
      </c>
      <c r="D294" s="115"/>
      <c r="E294" s="115"/>
      <c r="F294" s="108"/>
      <c r="G294" s="101" t="s">
        <v>118</v>
      </c>
      <c r="H294" s="115" t="s">
        <v>170</v>
      </c>
      <c r="I294" s="115"/>
      <c r="J294" s="115"/>
      <c r="K294" s="102"/>
      <c r="L294" s="101" t="s">
        <v>112</v>
      </c>
      <c r="M294" s="115" t="s">
        <v>176</v>
      </c>
      <c r="N294" s="115"/>
      <c r="O294" s="115"/>
      <c r="P294" s="102"/>
      <c r="Q294" s="102"/>
    </row>
    <row r="295" spans="1:17">
      <c r="A295" s="1"/>
      <c r="B295" s="101" t="s">
        <v>84</v>
      </c>
      <c r="C295" s="115" t="s">
        <v>165</v>
      </c>
      <c r="D295" s="115"/>
      <c r="E295" s="115"/>
      <c r="F295" s="104"/>
      <c r="G295" s="101" t="s">
        <v>82</v>
      </c>
      <c r="H295" s="115" t="s">
        <v>171</v>
      </c>
      <c r="I295" s="115"/>
      <c r="J295" s="115"/>
      <c r="K295" s="102"/>
      <c r="L295" s="101" t="s">
        <v>115</v>
      </c>
      <c r="M295" s="115" t="s">
        <v>177</v>
      </c>
      <c r="N295" s="115"/>
      <c r="O295" s="115"/>
      <c r="P295" s="102"/>
      <c r="Q295" s="102"/>
    </row>
    <row r="296" spans="1:17">
      <c r="A296" s="3"/>
      <c r="B296" s="103" t="s">
        <v>93</v>
      </c>
      <c r="C296" s="115" t="s">
        <v>166</v>
      </c>
      <c r="D296" s="115"/>
      <c r="E296" s="115"/>
      <c r="F296" s="104"/>
      <c r="G296" s="101" t="s">
        <v>83</v>
      </c>
      <c r="H296" s="115" t="s">
        <v>172</v>
      </c>
      <c r="I296" s="115"/>
      <c r="J296" s="115"/>
      <c r="K296" s="103"/>
      <c r="L296" s="101" t="s">
        <v>86</v>
      </c>
      <c r="M296" s="115" t="s">
        <v>41</v>
      </c>
      <c r="N296" s="115"/>
      <c r="O296" s="115"/>
      <c r="P296" s="103"/>
      <c r="Q296" s="103"/>
    </row>
    <row r="297" spans="1:17">
      <c r="A297" s="3"/>
      <c r="B297" s="103" t="s">
        <v>85</v>
      </c>
      <c r="C297" s="115" t="s">
        <v>167</v>
      </c>
      <c r="D297" s="115"/>
      <c r="E297" s="115"/>
      <c r="F297" s="104"/>
      <c r="G297" s="103" t="s">
        <v>99</v>
      </c>
      <c r="H297" s="115" t="s">
        <v>173</v>
      </c>
      <c r="I297" s="115"/>
      <c r="J297" s="115"/>
      <c r="K297" s="103"/>
      <c r="L297" s="103" t="s">
        <v>87</v>
      </c>
      <c r="M297" s="115" t="s">
        <v>40</v>
      </c>
      <c r="N297" s="115"/>
      <c r="O297" s="115"/>
      <c r="P297" s="103"/>
      <c r="Q297" s="103"/>
    </row>
    <row r="298" spans="1:17">
      <c r="A298" s="3"/>
      <c r="B298" s="103" t="s">
        <v>94</v>
      </c>
      <c r="C298" s="115" t="s">
        <v>168</v>
      </c>
      <c r="D298" s="115"/>
      <c r="E298" s="115"/>
      <c r="F298" s="104"/>
      <c r="G298" s="103" t="s">
        <v>104</v>
      </c>
      <c r="H298" s="115" t="s">
        <v>174</v>
      </c>
      <c r="I298" s="115"/>
      <c r="J298" s="115"/>
      <c r="K298" s="103"/>
      <c r="L298" s="103"/>
      <c r="M298" s="115"/>
      <c r="N298" s="115"/>
      <c r="O298" s="115"/>
      <c r="P298" s="103"/>
      <c r="Q298" s="103"/>
    </row>
    <row r="299" spans="1:17">
      <c r="A299" s="81"/>
      <c r="B299" s="103"/>
      <c r="C299" s="108"/>
      <c r="D299" s="108"/>
      <c r="E299" s="108"/>
      <c r="F299" s="104"/>
      <c r="G299" s="103"/>
      <c r="H299" s="108"/>
      <c r="I299" s="108"/>
      <c r="J299" s="108"/>
      <c r="K299" s="103"/>
      <c r="L299" s="103"/>
      <c r="M299" s="108"/>
      <c r="N299" s="108"/>
      <c r="O299" s="108"/>
      <c r="P299" s="103"/>
      <c r="Q299" s="103"/>
    </row>
    <row r="300" spans="1:17">
      <c r="A300" s="81"/>
      <c r="B300" s="103"/>
      <c r="C300" s="108"/>
      <c r="D300" s="108"/>
      <c r="E300" s="108"/>
      <c r="F300" s="124" t="s">
        <v>70</v>
      </c>
      <c r="G300" s="124"/>
      <c r="H300" s="124"/>
      <c r="I300" s="124"/>
      <c r="J300" s="108"/>
      <c r="K300" s="103"/>
      <c r="L300" s="103"/>
      <c r="M300" s="108"/>
      <c r="N300" s="108"/>
      <c r="O300" s="108"/>
      <c r="P300" s="103"/>
      <c r="Q300" s="103"/>
    </row>
    <row r="301" spans="1:17">
      <c r="A301" s="81"/>
      <c r="B301" s="103"/>
      <c r="C301" s="108"/>
      <c r="D301" s="108"/>
      <c r="E301" s="108"/>
      <c r="F301" s="123"/>
      <c r="G301" s="123"/>
      <c r="H301" s="123" t="s">
        <v>33</v>
      </c>
      <c r="I301" s="123"/>
      <c r="J301" s="108"/>
      <c r="K301" s="103"/>
      <c r="L301" s="103"/>
      <c r="M301" s="108"/>
      <c r="N301" s="108"/>
      <c r="O301" s="108"/>
      <c r="P301" s="103"/>
      <c r="Q301" s="103"/>
    </row>
    <row r="302" spans="1:17">
      <c r="A302" s="81"/>
      <c r="B302" s="103"/>
      <c r="C302" s="108"/>
      <c r="D302" s="108"/>
      <c r="E302" s="112"/>
      <c r="F302" s="122">
        <v>450</v>
      </c>
      <c r="G302" s="122"/>
      <c r="H302" s="123">
        <v>1.304</v>
      </c>
      <c r="I302" s="123"/>
      <c r="J302" s="108"/>
      <c r="K302" s="103"/>
      <c r="L302" s="103"/>
      <c r="M302" s="108"/>
      <c r="N302" s="108"/>
      <c r="O302" s="108"/>
      <c r="P302" s="103"/>
      <c r="Q302" s="103"/>
    </row>
    <row r="303" spans="1:17">
      <c r="A303" s="81"/>
      <c r="B303" s="103"/>
      <c r="C303" s="108"/>
      <c r="D303" s="108"/>
      <c r="E303" s="112"/>
      <c r="F303" s="122">
        <v>300</v>
      </c>
      <c r="G303" s="122"/>
      <c r="H303" s="123">
        <v>1.7210000000000001</v>
      </c>
      <c r="I303" s="123"/>
      <c r="J303" s="108"/>
      <c r="K303" s="103"/>
      <c r="L303" s="103"/>
      <c r="M303" s="108"/>
      <c r="N303" s="108"/>
      <c r="O303" s="108"/>
      <c r="P303" s="103"/>
      <c r="Q303" s="103"/>
    </row>
    <row r="304" spans="1:17">
      <c r="A304" s="81"/>
      <c r="B304" s="103"/>
      <c r="C304" s="108"/>
      <c r="D304" s="108"/>
      <c r="E304" s="112"/>
      <c r="F304" s="122">
        <v>150</v>
      </c>
      <c r="G304" s="122"/>
      <c r="H304" s="123">
        <v>2.46</v>
      </c>
      <c r="I304" s="123"/>
      <c r="J304" s="108"/>
      <c r="K304" s="103"/>
      <c r="L304" s="103"/>
      <c r="M304" s="108"/>
      <c r="N304" s="108"/>
      <c r="O304" s="108"/>
      <c r="P304" s="103"/>
      <c r="Q304" s="103"/>
    </row>
    <row r="305" spans="1:17">
      <c r="A305" s="81"/>
      <c r="B305" s="103"/>
      <c r="C305" s="108"/>
      <c r="D305" s="108"/>
      <c r="E305" s="112"/>
      <c r="F305" s="122">
        <v>100</v>
      </c>
      <c r="G305" s="122"/>
      <c r="H305" s="123">
        <v>2.87</v>
      </c>
      <c r="I305" s="123"/>
      <c r="J305" s="108"/>
      <c r="K305" s="103"/>
      <c r="L305" s="103"/>
      <c r="M305" s="108"/>
      <c r="N305" s="108"/>
      <c r="O305" s="108"/>
      <c r="P305" s="103"/>
      <c r="Q305" s="103"/>
    </row>
    <row r="306" spans="1:17">
      <c r="A306" s="81"/>
      <c r="B306" s="103"/>
      <c r="C306" s="108"/>
      <c r="D306" s="108"/>
      <c r="E306" s="108"/>
      <c r="F306" s="122" t="s">
        <v>157</v>
      </c>
      <c r="G306" s="122"/>
      <c r="H306" s="123">
        <v>1.1759999999999999</v>
      </c>
      <c r="I306" s="123"/>
      <c r="J306" s="108"/>
      <c r="K306" s="103"/>
      <c r="L306" s="103"/>
      <c r="M306" s="108"/>
      <c r="N306" s="108"/>
      <c r="O306" s="108"/>
      <c r="P306" s="103"/>
      <c r="Q306" s="103"/>
    </row>
    <row r="307" spans="1:17">
      <c r="A307" s="81"/>
      <c r="B307" s="103"/>
      <c r="C307" s="108"/>
      <c r="D307" s="108"/>
      <c r="E307" s="108"/>
      <c r="F307" s="122" t="s">
        <v>158</v>
      </c>
      <c r="G307" s="122"/>
      <c r="H307" s="123">
        <v>0.88300000000000001</v>
      </c>
      <c r="I307" s="123"/>
      <c r="J307" s="108"/>
      <c r="K307" s="103"/>
      <c r="L307" s="103"/>
      <c r="M307" s="108"/>
      <c r="N307" s="108"/>
      <c r="O307" s="108"/>
      <c r="P307" s="103"/>
      <c r="Q307" s="103"/>
    </row>
    <row r="308" spans="1:17">
      <c r="A308" s="81"/>
      <c r="B308" s="103"/>
      <c r="C308" s="108"/>
      <c r="D308" s="108"/>
      <c r="E308" s="108"/>
      <c r="F308" s="122" t="s">
        <v>40</v>
      </c>
      <c r="G308" s="122"/>
      <c r="H308" s="123">
        <v>1.286</v>
      </c>
      <c r="I308" s="123"/>
      <c r="J308" s="108"/>
      <c r="K308" s="103"/>
      <c r="L308" s="103"/>
      <c r="M308" s="108"/>
      <c r="N308" s="108"/>
      <c r="O308" s="108"/>
      <c r="P308" s="103"/>
      <c r="Q308" s="103"/>
    </row>
    <row r="309" spans="1:17">
      <c r="A309" s="81"/>
      <c r="B309" s="103"/>
      <c r="C309" s="108"/>
      <c r="D309" s="108"/>
      <c r="E309" s="108"/>
      <c r="F309" s="122" t="s">
        <v>159</v>
      </c>
      <c r="G309" s="122"/>
      <c r="H309" s="123">
        <v>4</v>
      </c>
      <c r="I309" s="123"/>
      <c r="J309" s="108"/>
      <c r="K309" s="103"/>
      <c r="L309" s="103"/>
      <c r="M309" s="108"/>
      <c r="N309" s="108"/>
      <c r="O309" s="108"/>
      <c r="P309" s="103"/>
      <c r="Q309" s="103"/>
    </row>
    <row r="310" spans="1:17">
      <c r="A310" s="81"/>
      <c r="B310" s="103"/>
      <c r="C310" s="108"/>
      <c r="D310" s="108"/>
      <c r="E310" s="108"/>
      <c r="F310" s="122" t="s">
        <v>161</v>
      </c>
      <c r="G310" s="122"/>
      <c r="H310" s="123">
        <v>5</v>
      </c>
      <c r="I310" s="123"/>
      <c r="J310" s="108"/>
      <c r="K310" s="103"/>
      <c r="L310" s="103"/>
      <c r="M310" s="108"/>
      <c r="N310" s="108"/>
      <c r="O310" s="108"/>
      <c r="P310" s="103"/>
      <c r="Q310" s="103"/>
    </row>
    <row r="311" spans="1:17">
      <c r="A311" s="81"/>
      <c r="B311" s="103"/>
      <c r="C311" s="108"/>
      <c r="D311" s="108"/>
      <c r="E311" s="108"/>
      <c r="F311" s="122" t="s">
        <v>72</v>
      </c>
      <c r="G311" s="122"/>
      <c r="H311" s="123">
        <v>2</v>
      </c>
      <c r="I311" s="123"/>
      <c r="J311" s="108"/>
      <c r="K311" s="103"/>
      <c r="L311" s="103"/>
      <c r="M311" s="108"/>
      <c r="N311" s="108"/>
      <c r="O311" s="108"/>
      <c r="P311" s="103"/>
      <c r="Q311" s="103"/>
    </row>
    <row r="312" spans="1:17">
      <c r="A312" s="81"/>
      <c r="B312" s="103"/>
      <c r="C312" s="108"/>
      <c r="D312" s="108"/>
      <c r="E312" s="108"/>
      <c r="F312" s="122" t="s">
        <v>160</v>
      </c>
      <c r="G312" s="122"/>
      <c r="H312" s="123">
        <v>4</v>
      </c>
      <c r="I312" s="123"/>
      <c r="J312" s="108"/>
      <c r="K312" s="103"/>
      <c r="L312" s="103"/>
      <c r="M312" s="108"/>
      <c r="N312" s="108"/>
      <c r="O312" s="108"/>
      <c r="P312" s="103"/>
      <c r="Q312" s="103"/>
    </row>
    <row r="313" spans="1:17">
      <c r="A313" s="81"/>
      <c r="B313" s="103"/>
      <c r="C313" s="108"/>
      <c r="D313" s="108"/>
      <c r="E313" s="108"/>
      <c r="F313" s="104"/>
      <c r="G313" s="103"/>
      <c r="H313" s="108"/>
      <c r="I313" s="108"/>
      <c r="J313" s="108"/>
      <c r="K313" s="103"/>
      <c r="L313" s="103"/>
      <c r="M313" s="108"/>
      <c r="N313" s="108"/>
      <c r="O313" s="108"/>
      <c r="P313" s="103"/>
      <c r="Q313" s="103"/>
    </row>
    <row r="314" spans="1:17">
      <c r="A314" s="81"/>
      <c r="B314" s="125" t="s">
        <v>180</v>
      </c>
      <c r="C314" s="126"/>
      <c r="D314" s="126"/>
      <c r="E314" s="108"/>
      <c r="F314" s="104"/>
      <c r="G314" s="103"/>
      <c r="H314" s="108"/>
      <c r="I314" s="108"/>
      <c r="J314" s="108"/>
      <c r="K314" s="103"/>
      <c r="L314" s="103"/>
      <c r="M314" s="108"/>
      <c r="N314" s="108"/>
      <c r="O314" s="108"/>
      <c r="P314" s="103"/>
      <c r="Q314" s="103"/>
    </row>
    <row r="315" spans="1:17">
      <c r="A315" s="81"/>
      <c r="B315" s="103"/>
      <c r="C315" s="108"/>
      <c r="D315" s="108"/>
      <c r="E315" s="108"/>
      <c r="F315" s="104"/>
      <c r="G315" s="103"/>
      <c r="H315" s="108"/>
      <c r="I315" s="108"/>
      <c r="J315" s="108"/>
      <c r="K315" s="103"/>
      <c r="L315" s="103"/>
      <c r="M315" s="108"/>
      <c r="N315" s="108"/>
      <c r="O315" s="108"/>
      <c r="P315" s="103"/>
      <c r="Q315" s="103"/>
    </row>
    <row r="316" spans="1:17">
      <c r="A316" s="81"/>
      <c r="B316" s="103" t="s">
        <v>181</v>
      </c>
      <c r="C316" s="115" t="s">
        <v>182</v>
      </c>
      <c r="D316" s="115"/>
      <c r="E316" s="115"/>
      <c r="F316" s="104"/>
      <c r="G316" s="125" t="s">
        <v>183</v>
      </c>
      <c r="H316" s="126"/>
      <c r="I316" s="126"/>
      <c r="J316" s="108"/>
      <c r="K316" s="103"/>
      <c r="L316" s="103"/>
      <c r="M316" s="108"/>
      <c r="N316" s="108"/>
      <c r="O316" s="108"/>
      <c r="P316" s="103"/>
      <c r="Q316" s="103"/>
    </row>
    <row r="317" spans="1:17">
      <c r="A317" s="81"/>
      <c r="B317" s="103"/>
      <c r="C317" s="108"/>
      <c r="D317" s="108"/>
      <c r="E317" s="108"/>
      <c r="F317" s="104"/>
      <c r="G317" s="103"/>
      <c r="H317" s="108" t="s">
        <v>184</v>
      </c>
      <c r="I317" s="115" t="s">
        <v>187</v>
      </c>
      <c r="J317" s="116"/>
      <c r="K317" s="116"/>
      <c r="L317" s="116"/>
      <c r="M317" s="116"/>
      <c r="N317" s="108" t="s">
        <v>188</v>
      </c>
      <c r="O317" s="108"/>
      <c r="P317" s="103"/>
      <c r="Q317" s="103"/>
    </row>
    <row r="318" spans="1:17">
      <c r="A318" s="81"/>
      <c r="B318" s="103"/>
      <c r="C318" s="108"/>
      <c r="D318" s="108"/>
      <c r="E318" s="108"/>
      <c r="F318" s="104"/>
      <c r="G318" s="103"/>
      <c r="H318" s="108" t="s">
        <v>185</v>
      </c>
      <c r="I318" s="115" t="s">
        <v>189</v>
      </c>
      <c r="J318" s="116"/>
      <c r="K318" s="116"/>
      <c r="L318" s="116"/>
      <c r="M318" s="116"/>
      <c r="N318" s="108" t="s">
        <v>188</v>
      </c>
      <c r="O318" s="108"/>
      <c r="P318" s="103"/>
      <c r="Q318" s="103"/>
    </row>
    <row r="319" spans="1:17">
      <c r="A319" s="81"/>
      <c r="B319" s="103"/>
      <c r="C319" s="108"/>
      <c r="D319" s="108"/>
      <c r="E319" s="108"/>
      <c r="F319" s="104"/>
      <c r="G319" s="103"/>
      <c r="H319" s="108" t="s">
        <v>49</v>
      </c>
      <c r="I319" s="115" t="s">
        <v>190</v>
      </c>
      <c r="J319" s="116"/>
      <c r="K319" s="116"/>
      <c r="L319" s="116"/>
      <c r="M319" s="116"/>
      <c r="N319" s="108" t="s">
        <v>188</v>
      </c>
      <c r="O319" s="108"/>
      <c r="P319" s="103"/>
      <c r="Q319" s="103"/>
    </row>
    <row r="320" spans="1:17">
      <c r="A320" s="81"/>
      <c r="B320" s="103"/>
      <c r="C320" s="108"/>
      <c r="D320" s="108"/>
      <c r="E320" s="108"/>
      <c r="F320" s="104"/>
      <c r="G320" s="103"/>
      <c r="H320" s="108" t="s">
        <v>186</v>
      </c>
      <c r="I320" s="115" t="s">
        <v>191</v>
      </c>
      <c r="J320" s="116"/>
      <c r="K320" s="116"/>
      <c r="L320" s="116"/>
      <c r="M320" s="116"/>
      <c r="N320" s="108" t="s">
        <v>188</v>
      </c>
      <c r="O320" s="108"/>
      <c r="P320" s="103"/>
      <c r="Q320" s="103"/>
    </row>
    <row r="321" spans="1:17">
      <c r="A321" s="81"/>
      <c r="B321" s="103"/>
      <c r="C321" s="108"/>
      <c r="D321" s="108"/>
      <c r="E321" s="108"/>
      <c r="F321" s="104"/>
      <c r="G321" s="103"/>
      <c r="H321" s="108"/>
      <c r="I321" s="108"/>
      <c r="J321" s="108"/>
      <c r="K321" s="103"/>
      <c r="L321" s="103"/>
      <c r="M321" s="108"/>
      <c r="N321" s="108"/>
      <c r="O321" s="108"/>
      <c r="P321" s="103"/>
      <c r="Q321" s="103"/>
    </row>
    <row r="322" spans="1:17" ht="25.5" customHeight="1">
      <c r="A322" s="81"/>
      <c r="B322" s="113" t="s">
        <v>192</v>
      </c>
      <c r="C322" s="117" t="s">
        <v>189</v>
      </c>
      <c r="D322" s="117"/>
      <c r="E322" s="117"/>
      <c r="F322" s="114"/>
      <c r="G322" s="118" t="s">
        <v>201</v>
      </c>
      <c r="H322" s="119"/>
      <c r="I322" s="119"/>
      <c r="J322" s="119"/>
      <c r="K322" s="103"/>
      <c r="L322" s="103"/>
      <c r="M322" s="108"/>
      <c r="N322" s="108"/>
      <c r="O322" s="108"/>
      <c r="P322" s="103"/>
      <c r="Q322" s="103"/>
    </row>
    <row r="323" spans="1:17">
      <c r="A323" s="81"/>
      <c r="B323" s="103"/>
      <c r="C323" s="108"/>
      <c r="D323" s="108"/>
      <c r="E323" s="108"/>
      <c r="F323" s="104"/>
      <c r="G323" s="103"/>
      <c r="H323" s="108" t="s">
        <v>193</v>
      </c>
      <c r="I323" s="115" t="s">
        <v>197</v>
      </c>
      <c r="J323" s="116"/>
      <c r="K323" s="116"/>
      <c r="L323" s="116"/>
      <c r="M323" s="116"/>
      <c r="N323" s="108" t="s">
        <v>188</v>
      </c>
      <c r="O323" s="108"/>
      <c r="P323" s="103"/>
      <c r="Q323" s="103"/>
    </row>
    <row r="324" spans="1:17">
      <c r="A324" s="81"/>
      <c r="B324" s="103"/>
      <c r="C324" s="108"/>
      <c r="D324" s="108"/>
      <c r="E324" s="108"/>
      <c r="F324" s="104"/>
      <c r="G324" s="103"/>
      <c r="H324" s="108" t="s">
        <v>194</v>
      </c>
      <c r="I324" s="120" t="s">
        <v>198</v>
      </c>
      <c r="J324" s="121"/>
      <c r="K324" s="121"/>
      <c r="L324" s="121"/>
      <c r="M324" s="121"/>
      <c r="N324" s="108"/>
      <c r="O324" s="108"/>
      <c r="P324" s="103"/>
      <c r="Q324" s="103"/>
    </row>
    <row r="325" spans="1:17">
      <c r="A325" s="81"/>
      <c r="B325" s="103"/>
      <c r="C325" s="108"/>
      <c r="D325" s="108"/>
      <c r="E325" s="108"/>
      <c r="F325" s="104"/>
      <c r="G325" s="103"/>
      <c r="H325" s="108" t="s">
        <v>195</v>
      </c>
      <c r="I325" s="115" t="s">
        <v>199</v>
      </c>
      <c r="J325" s="116"/>
      <c r="K325" s="116"/>
      <c r="L325" s="116"/>
      <c r="M325" s="116"/>
      <c r="N325" s="108"/>
      <c r="O325" s="108"/>
      <c r="P325" s="103"/>
      <c r="Q325" s="103"/>
    </row>
    <row r="326" spans="1:17">
      <c r="A326" s="81"/>
      <c r="B326" s="103"/>
      <c r="C326" s="108"/>
      <c r="D326" s="108"/>
      <c r="E326" s="108"/>
      <c r="F326" s="104"/>
      <c r="G326" s="103"/>
      <c r="H326" s="108" t="s">
        <v>196</v>
      </c>
      <c r="I326" s="115" t="s">
        <v>200</v>
      </c>
      <c r="J326" s="116"/>
      <c r="K326" s="116"/>
      <c r="L326" s="116"/>
      <c r="M326" s="116"/>
      <c r="N326" s="108"/>
      <c r="O326" s="108"/>
      <c r="P326" s="103"/>
      <c r="Q326" s="103"/>
    </row>
    <row r="327" spans="1:17">
      <c r="A327" s="81"/>
      <c r="B327" s="103"/>
      <c r="C327" s="108"/>
      <c r="D327" s="108"/>
      <c r="E327" s="108"/>
      <c r="F327" s="104"/>
      <c r="G327" s="103"/>
      <c r="H327" s="108"/>
      <c r="I327" s="115"/>
      <c r="J327" s="116"/>
      <c r="K327" s="116"/>
      <c r="L327" s="116"/>
      <c r="M327" s="116"/>
      <c r="N327" s="108"/>
      <c r="O327" s="108"/>
      <c r="P327" s="103"/>
      <c r="Q327" s="103"/>
    </row>
    <row r="328" spans="1:17">
      <c r="A328" s="81"/>
      <c r="B328" s="103"/>
      <c r="C328" s="108"/>
      <c r="D328" s="108"/>
      <c r="E328" s="108"/>
      <c r="F328" s="104"/>
      <c r="G328" s="103"/>
      <c r="H328" s="108"/>
      <c r="I328" s="115"/>
      <c r="J328" s="116"/>
      <c r="K328" s="116"/>
      <c r="L328" s="116"/>
      <c r="M328" s="116"/>
      <c r="N328" s="108"/>
      <c r="O328" s="108"/>
      <c r="P328" s="103"/>
      <c r="Q328" s="103"/>
    </row>
    <row r="329" spans="1:17">
      <c r="A329" s="81"/>
      <c r="B329" s="103"/>
      <c r="C329" s="108"/>
      <c r="D329" s="108"/>
      <c r="E329" s="108"/>
      <c r="F329" s="104"/>
      <c r="G329" s="103"/>
      <c r="H329" s="108"/>
      <c r="I329" s="108"/>
      <c r="J329" s="108"/>
      <c r="K329" s="103"/>
      <c r="L329" s="103"/>
      <c r="M329" s="108"/>
      <c r="N329" s="108"/>
      <c r="O329" s="108"/>
      <c r="P329" s="103"/>
      <c r="Q329" s="103"/>
    </row>
    <row r="330" spans="1:17">
      <c r="A330" s="3"/>
      <c r="B330" s="103"/>
      <c r="C330" s="104"/>
      <c r="D330" s="104"/>
      <c r="E330" s="104"/>
      <c r="F330" s="104"/>
      <c r="G330" s="104"/>
      <c r="H330" s="104"/>
      <c r="I330" s="104"/>
      <c r="J330" s="103"/>
      <c r="K330" s="103"/>
      <c r="L330" s="103"/>
      <c r="M330" s="103"/>
      <c r="N330" s="103"/>
      <c r="O330" s="103"/>
      <c r="P330" s="103"/>
      <c r="Q330" s="103"/>
    </row>
    <row r="331" spans="1:17">
      <c r="A331" s="3"/>
      <c r="B331" s="103"/>
      <c r="C331" s="159" t="s">
        <v>2</v>
      </c>
      <c r="D331" s="159"/>
      <c r="E331" s="159"/>
      <c r="F331" s="159"/>
      <c r="G331" s="159"/>
      <c r="H331" s="159"/>
      <c r="I331" s="159"/>
      <c r="J331" s="103"/>
      <c r="K331" s="103"/>
      <c r="L331" s="103"/>
      <c r="M331" s="103"/>
      <c r="N331" s="103"/>
      <c r="O331" s="103"/>
      <c r="P331" s="103"/>
      <c r="Q331" s="103"/>
    </row>
    <row r="332" spans="1:17">
      <c r="A332" s="3"/>
      <c r="B332" s="103" t="s">
        <v>13</v>
      </c>
      <c r="C332" s="156" t="s">
        <v>42</v>
      </c>
      <c r="D332" s="156"/>
      <c r="E332" s="156"/>
      <c r="F332" s="156"/>
      <c r="G332" s="156"/>
      <c r="H332" s="156"/>
      <c r="I332" s="156"/>
      <c r="J332" s="103"/>
      <c r="K332" s="103"/>
      <c r="L332" s="103"/>
      <c r="M332" s="103"/>
      <c r="N332" s="103"/>
      <c r="O332" s="103"/>
      <c r="P332" s="103"/>
      <c r="Q332" s="103"/>
    </row>
    <row r="333" spans="1:17">
      <c r="A333" s="3"/>
      <c r="B333" s="103" t="s">
        <v>14</v>
      </c>
      <c r="C333" s="156" t="s">
        <v>43</v>
      </c>
      <c r="D333" s="156"/>
      <c r="E333" s="156"/>
      <c r="F333" s="156"/>
      <c r="G333" s="156"/>
      <c r="H333" s="156"/>
      <c r="I333" s="156"/>
      <c r="J333" s="103"/>
      <c r="K333" s="103"/>
      <c r="L333" s="103"/>
      <c r="M333" s="103"/>
      <c r="N333" s="103"/>
      <c r="O333" s="103"/>
      <c r="P333" s="103"/>
      <c r="Q333" s="103"/>
    </row>
    <row r="334" spans="1:17">
      <c r="A334" s="3"/>
      <c r="B334" s="103" t="s">
        <v>15</v>
      </c>
      <c r="C334" s="156" t="s">
        <v>48</v>
      </c>
      <c r="D334" s="156"/>
      <c r="E334" s="156"/>
      <c r="F334" s="156"/>
      <c r="G334" s="156"/>
      <c r="H334" s="156"/>
      <c r="I334" s="156"/>
      <c r="J334" s="103"/>
      <c r="K334" s="103"/>
      <c r="L334" s="103"/>
      <c r="M334" s="103"/>
      <c r="N334" s="103"/>
      <c r="O334" s="103"/>
      <c r="P334" s="103"/>
      <c r="Q334" s="103"/>
    </row>
    <row r="335" spans="1:17">
      <c r="A335" s="3"/>
      <c r="B335" s="103"/>
      <c r="C335" s="103"/>
      <c r="D335" s="103"/>
      <c r="E335" s="103"/>
      <c r="F335" s="103"/>
      <c r="G335" s="103"/>
      <c r="H335" s="103"/>
      <c r="I335" s="103"/>
      <c r="J335" s="103"/>
      <c r="K335" s="103"/>
      <c r="L335" s="103"/>
      <c r="M335" s="103"/>
      <c r="N335" s="103"/>
      <c r="O335" s="103"/>
      <c r="P335" s="103"/>
      <c r="Q335" s="103"/>
    </row>
    <row r="336" spans="1:17">
      <c r="A336" s="3"/>
      <c r="B336" s="103"/>
      <c r="C336" s="103"/>
      <c r="D336" s="103"/>
      <c r="E336" s="103"/>
      <c r="F336" s="103"/>
      <c r="G336" s="103"/>
      <c r="H336" s="103"/>
      <c r="I336" s="103"/>
      <c r="J336" s="103"/>
      <c r="K336" s="103"/>
      <c r="L336" s="103"/>
      <c r="M336" s="103"/>
      <c r="N336" s="103"/>
      <c r="O336" s="103"/>
      <c r="P336" s="103"/>
      <c r="Q336" s="103"/>
    </row>
    <row r="337" spans="1:18">
      <c r="A337" s="3"/>
      <c r="B337" s="103"/>
      <c r="C337" s="103"/>
      <c r="D337" s="103"/>
      <c r="E337" s="103"/>
      <c r="F337" s="103"/>
      <c r="G337" s="103"/>
      <c r="H337" s="103"/>
      <c r="I337" s="103"/>
      <c r="J337" s="103"/>
      <c r="K337" s="103"/>
      <c r="L337" s="103"/>
      <c r="M337" s="103"/>
      <c r="N337" s="103"/>
      <c r="O337" s="103"/>
      <c r="P337" s="103"/>
      <c r="Q337" s="103"/>
    </row>
    <row r="338" spans="1:18">
      <c r="A338" s="3"/>
      <c r="B338" s="103"/>
      <c r="C338" s="103"/>
      <c r="D338" s="103"/>
      <c r="E338" s="103"/>
      <c r="F338" s="103"/>
      <c r="G338" s="103"/>
      <c r="H338" s="103"/>
      <c r="I338" s="103"/>
      <c r="J338" s="103"/>
      <c r="K338" s="103"/>
      <c r="L338" s="103"/>
      <c r="M338" s="103"/>
      <c r="N338" s="103"/>
      <c r="O338" s="103"/>
      <c r="P338" s="103"/>
      <c r="Q338" s="103"/>
    </row>
    <row r="339" spans="1:18">
      <c r="A339" s="3"/>
      <c r="B339" s="103"/>
      <c r="C339" s="103"/>
      <c r="D339" s="103"/>
      <c r="E339" s="103"/>
      <c r="F339" s="103"/>
      <c r="G339" s="103"/>
      <c r="H339" s="103"/>
      <c r="I339" s="103"/>
      <c r="J339" s="103"/>
      <c r="K339" s="103"/>
      <c r="L339" s="103"/>
      <c r="M339" s="103"/>
      <c r="N339" s="103"/>
      <c r="O339" s="103"/>
      <c r="P339" s="103"/>
      <c r="Q339" s="103"/>
    </row>
    <row r="340" spans="1:18">
      <c r="A340" s="3"/>
      <c r="B340" s="103"/>
      <c r="C340" s="103" t="s">
        <v>44</v>
      </c>
      <c r="D340" s="155" t="s">
        <v>45</v>
      </c>
      <c r="E340" s="155"/>
      <c r="F340" s="155"/>
      <c r="G340" s="155"/>
      <c r="H340" s="155"/>
      <c r="I340" s="155"/>
      <c r="J340" s="155"/>
      <c r="K340" s="155"/>
      <c r="L340" s="103"/>
      <c r="M340" s="103"/>
      <c r="N340" s="103"/>
      <c r="O340" s="103"/>
      <c r="P340" s="103"/>
      <c r="Q340" s="103"/>
    </row>
    <row r="341" spans="1:18">
      <c r="A341" s="3"/>
      <c r="B341" s="103"/>
      <c r="C341" s="105" t="s">
        <v>46</v>
      </c>
      <c r="D341" s="155" t="s">
        <v>47</v>
      </c>
      <c r="E341" s="155"/>
      <c r="F341" s="155"/>
      <c r="G341" s="155"/>
      <c r="H341" s="155"/>
      <c r="I341" s="155"/>
      <c r="J341" s="155"/>
      <c r="K341" s="155"/>
      <c r="L341" s="103"/>
      <c r="M341" s="103"/>
      <c r="N341" s="103"/>
      <c r="O341" s="103"/>
      <c r="P341" s="103"/>
      <c r="Q341" s="103"/>
    </row>
    <row r="342" spans="1:18">
      <c r="A342" s="3"/>
      <c r="B342" s="103"/>
      <c r="C342" s="103"/>
      <c r="D342" s="103"/>
      <c r="E342" s="103"/>
      <c r="F342" s="103"/>
      <c r="G342" s="103"/>
      <c r="H342" s="103"/>
      <c r="I342" s="103"/>
      <c r="J342" s="103"/>
      <c r="K342" s="103"/>
      <c r="L342" s="103"/>
      <c r="M342" s="103"/>
      <c r="N342" s="103"/>
      <c r="O342" s="103"/>
      <c r="P342" s="103"/>
      <c r="Q342" s="103"/>
    </row>
    <row r="343" spans="1:18">
      <c r="A343" s="3"/>
      <c r="B343" s="103" t="s">
        <v>49</v>
      </c>
      <c r="C343" s="156" t="s">
        <v>50</v>
      </c>
      <c r="D343" s="156"/>
      <c r="E343" s="156"/>
      <c r="F343" s="156"/>
      <c r="G343" s="156"/>
      <c r="H343" s="156"/>
      <c r="I343" s="156"/>
      <c r="J343" s="103"/>
      <c r="K343" s="103"/>
      <c r="L343" s="103"/>
      <c r="M343" s="103"/>
      <c r="N343" s="103"/>
      <c r="O343" s="103"/>
      <c r="P343" s="103"/>
      <c r="Q343" s="103"/>
    </row>
    <row r="344" spans="1:18">
      <c r="A344" s="3"/>
      <c r="B344" s="103"/>
      <c r="C344" s="103"/>
      <c r="D344" s="103"/>
      <c r="E344" s="103"/>
      <c r="F344" s="103"/>
      <c r="G344" s="103"/>
      <c r="H344" s="103"/>
      <c r="I344" s="103"/>
      <c r="J344" s="103"/>
      <c r="K344" s="103"/>
      <c r="L344" s="103"/>
      <c r="M344" s="103"/>
      <c r="N344" s="103"/>
      <c r="O344" s="103"/>
      <c r="P344" s="103"/>
      <c r="Q344" s="103"/>
    </row>
    <row r="345" spans="1:18">
      <c r="A345" s="3"/>
      <c r="B345" s="103"/>
      <c r="C345" s="103"/>
      <c r="D345" s="103"/>
      <c r="E345" s="103"/>
      <c r="F345" s="103"/>
      <c r="G345" s="103"/>
      <c r="H345" s="103"/>
      <c r="I345" s="103"/>
      <c r="J345" s="103"/>
      <c r="K345" s="103"/>
      <c r="L345" s="103"/>
      <c r="M345" s="103"/>
      <c r="N345" s="103"/>
      <c r="O345" s="103"/>
      <c r="P345" s="103"/>
      <c r="Q345" s="103"/>
    </row>
    <row r="346" spans="1:18">
      <c r="A346" s="3"/>
      <c r="B346" s="103"/>
      <c r="C346" s="103"/>
      <c r="D346" s="103"/>
      <c r="E346" s="103"/>
      <c r="F346" s="103"/>
      <c r="G346" s="103"/>
      <c r="H346" s="103"/>
      <c r="I346" s="103"/>
      <c r="J346" s="103"/>
      <c r="K346" s="103"/>
      <c r="L346" s="103"/>
      <c r="M346" s="103"/>
      <c r="N346" s="103"/>
      <c r="O346" s="103"/>
      <c r="P346" s="103"/>
      <c r="Q346" s="103"/>
    </row>
    <row r="347" spans="1:18">
      <c r="A347" s="3"/>
      <c r="B347" s="103"/>
      <c r="C347" s="103" t="s">
        <v>51</v>
      </c>
      <c r="D347" s="155" t="s">
        <v>52</v>
      </c>
      <c r="E347" s="155"/>
      <c r="F347" s="155"/>
      <c r="G347" s="155"/>
      <c r="H347" s="155"/>
      <c r="I347" s="155"/>
      <c r="J347" s="155"/>
      <c r="K347" s="155"/>
      <c r="L347" s="103"/>
      <c r="M347" s="103"/>
      <c r="N347" s="103"/>
      <c r="O347" s="103"/>
      <c r="P347" s="103"/>
      <c r="Q347" s="103"/>
      <c r="R347" s="1"/>
    </row>
    <row r="348" spans="1:18">
      <c r="A348" s="3"/>
      <c r="B348" s="103"/>
      <c r="C348" s="103" t="s">
        <v>53</v>
      </c>
      <c r="D348" s="155" t="s">
        <v>54</v>
      </c>
      <c r="E348" s="155"/>
      <c r="F348" s="155"/>
      <c r="G348" s="155"/>
      <c r="H348" s="155"/>
      <c r="I348" s="155"/>
      <c r="J348" s="155"/>
      <c r="K348" s="155"/>
      <c r="L348" s="103"/>
      <c r="M348" s="103"/>
      <c r="N348" s="103"/>
      <c r="O348" s="103"/>
      <c r="P348" s="103"/>
      <c r="Q348" s="103"/>
      <c r="R348" s="1"/>
    </row>
    <row r="349" spans="1:18">
      <c r="A349" s="3"/>
      <c r="B349" s="103"/>
      <c r="C349" s="103"/>
      <c r="D349" s="154" t="s">
        <v>162</v>
      </c>
      <c r="E349" s="154"/>
      <c r="F349" s="154"/>
      <c r="G349" s="103"/>
      <c r="H349" s="103"/>
      <c r="I349" s="103"/>
      <c r="J349" s="103"/>
      <c r="K349" s="103"/>
      <c r="L349" s="103"/>
      <c r="M349" s="103"/>
      <c r="N349" s="103"/>
      <c r="O349" s="103"/>
      <c r="P349" s="103"/>
      <c r="Q349" s="103"/>
      <c r="R349" s="1"/>
    </row>
    <row r="350" spans="1:18">
      <c r="A350" s="3"/>
      <c r="B350" s="103"/>
      <c r="C350" s="103"/>
      <c r="D350" s="103"/>
      <c r="E350" s="103"/>
      <c r="F350" s="103"/>
      <c r="G350" s="103"/>
      <c r="H350" s="103"/>
      <c r="I350" s="103"/>
      <c r="J350" s="103"/>
      <c r="K350" s="103"/>
      <c r="L350" s="103"/>
      <c r="M350" s="103"/>
      <c r="N350" s="103"/>
      <c r="O350" s="103"/>
      <c r="P350" s="103"/>
      <c r="Q350" s="103"/>
      <c r="R350" s="1"/>
    </row>
    <row r="351" spans="1:18">
      <c r="A351" s="3"/>
      <c r="B351" s="103"/>
      <c r="C351" s="103"/>
      <c r="D351" s="103"/>
      <c r="E351" s="103"/>
      <c r="F351" s="103"/>
      <c r="G351" s="103"/>
      <c r="H351" s="103"/>
      <c r="I351" s="103"/>
      <c r="J351" s="103"/>
      <c r="K351" s="103"/>
      <c r="L351" s="103"/>
      <c r="M351" s="103"/>
      <c r="N351" s="103"/>
      <c r="O351" s="103"/>
      <c r="P351" s="103"/>
      <c r="Q351" s="103"/>
      <c r="R351" s="1"/>
    </row>
    <row r="352" spans="1:18">
      <c r="A352" s="3"/>
      <c r="B352" s="103"/>
      <c r="C352" s="103"/>
      <c r="D352" s="103"/>
      <c r="E352" s="103"/>
      <c r="F352" s="103"/>
      <c r="G352" s="103"/>
      <c r="H352" s="103"/>
      <c r="I352" s="103"/>
      <c r="J352" s="103"/>
      <c r="K352" s="103"/>
      <c r="L352" s="103"/>
      <c r="M352" s="103"/>
      <c r="N352" s="103"/>
      <c r="O352" s="103"/>
      <c r="P352" s="103"/>
      <c r="Q352" s="103"/>
      <c r="R352" s="1"/>
    </row>
    <row r="353" spans="1:18">
      <c r="A353" s="3"/>
      <c r="B353" s="103"/>
      <c r="C353" s="103"/>
      <c r="D353" s="103"/>
      <c r="E353" s="103"/>
      <c r="F353" s="103"/>
      <c r="G353" s="103"/>
      <c r="H353" s="103"/>
      <c r="I353" s="103"/>
      <c r="J353" s="103"/>
      <c r="K353" s="103"/>
      <c r="L353" s="103"/>
      <c r="M353" s="103"/>
      <c r="N353" s="103"/>
      <c r="O353" s="103"/>
      <c r="P353" s="103"/>
      <c r="Q353" s="103"/>
      <c r="R353" s="1"/>
    </row>
    <row r="354" spans="1:18">
      <c r="A354" s="3"/>
      <c r="B354" s="103"/>
      <c r="C354" s="103"/>
      <c r="D354" s="103" t="s">
        <v>55</v>
      </c>
      <c r="E354" s="106" t="s">
        <v>56</v>
      </c>
      <c r="F354" s="106"/>
      <c r="G354" s="106"/>
      <c r="H354" s="106"/>
      <c r="I354" s="106"/>
      <c r="J354" s="106"/>
      <c r="K354" s="106"/>
      <c r="L354" s="106"/>
      <c r="M354" s="106"/>
      <c r="N354" s="107"/>
      <c r="O354" s="107"/>
      <c r="P354" s="103"/>
      <c r="Q354" s="103"/>
      <c r="R354" s="1"/>
    </row>
    <row r="355" spans="1:18">
      <c r="A355" s="3"/>
      <c r="B355" s="103"/>
      <c r="C355" s="103"/>
      <c r="D355" s="103"/>
      <c r="E355" s="106" t="s">
        <v>59</v>
      </c>
      <c r="F355" s="106" t="s">
        <v>163</v>
      </c>
      <c r="G355" s="107"/>
      <c r="H355" s="107"/>
      <c r="I355" s="107"/>
      <c r="J355" s="107"/>
      <c r="K355" s="107"/>
      <c r="L355" s="107"/>
      <c r="M355" s="107"/>
      <c r="N355" s="107"/>
      <c r="O355" s="107"/>
      <c r="P355" s="103"/>
      <c r="Q355" s="103"/>
      <c r="R355" s="1"/>
    </row>
    <row r="356" spans="1:18">
      <c r="A356" s="3"/>
      <c r="B356" s="103"/>
      <c r="C356" s="103"/>
      <c r="D356" s="103"/>
      <c r="E356" s="106" t="s">
        <v>60</v>
      </c>
      <c r="F356" s="106" t="s">
        <v>61</v>
      </c>
      <c r="G356" s="107"/>
      <c r="H356" s="107"/>
      <c r="I356" s="107"/>
      <c r="J356" s="107"/>
      <c r="K356" s="107"/>
      <c r="L356" s="107"/>
      <c r="M356" s="107"/>
      <c r="N356" s="107"/>
      <c r="O356" s="107"/>
      <c r="P356" s="103"/>
      <c r="Q356" s="103"/>
      <c r="R356" s="1"/>
    </row>
    <row r="357" spans="1:18">
      <c r="A357" s="3"/>
      <c r="B357" s="103"/>
      <c r="C357" s="103"/>
      <c r="D357" s="103" t="s">
        <v>57</v>
      </c>
      <c r="E357" s="106" t="s">
        <v>58</v>
      </c>
      <c r="F357" s="106"/>
      <c r="G357" s="106"/>
      <c r="H357" s="106"/>
      <c r="I357" s="106"/>
      <c r="J357" s="106"/>
      <c r="K357" s="106"/>
      <c r="L357" s="106"/>
      <c r="M357" s="106"/>
      <c r="N357" s="106"/>
      <c r="O357" s="106"/>
      <c r="P357" s="103"/>
      <c r="Q357" s="103"/>
      <c r="R357" s="1"/>
    </row>
    <row r="358" spans="1:18">
      <c r="A358" s="3"/>
      <c r="B358" s="103"/>
      <c r="C358" s="103"/>
      <c r="D358" s="103"/>
      <c r="E358" s="106" t="s">
        <v>62</v>
      </c>
      <c r="F358" s="106" t="s">
        <v>63</v>
      </c>
      <c r="G358" s="107"/>
      <c r="H358" s="107"/>
      <c r="I358" s="107"/>
      <c r="J358" s="107"/>
      <c r="K358" s="107"/>
      <c r="L358" s="107"/>
      <c r="M358" s="107"/>
      <c r="N358" s="107"/>
      <c r="O358" s="103"/>
      <c r="P358" s="103"/>
      <c r="Q358" s="103"/>
      <c r="R358" s="1"/>
    </row>
    <row r="359" spans="1:18">
      <c r="A359" s="3"/>
      <c r="B359" s="103"/>
      <c r="C359" s="103"/>
      <c r="D359" s="103"/>
      <c r="E359" s="106" t="s">
        <v>64</v>
      </c>
      <c r="F359" s="106" t="s">
        <v>65</v>
      </c>
      <c r="G359" s="107"/>
      <c r="H359" s="107"/>
      <c r="I359" s="107"/>
      <c r="J359" s="107"/>
      <c r="K359" s="107"/>
      <c r="L359" s="107"/>
      <c r="M359" s="107"/>
      <c r="N359" s="107"/>
      <c r="O359" s="103"/>
      <c r="P359" s="103"/>
      <c r="Q359" s="103"/>
      <c r="R359" s="1"/>
    </row>
    <row r="360" spans="1:18">
      <c r="A360" s="3"/>
      <c r="B360" s="103"/>
      <c r="C360" s="103"/>
      <c r="D360" s="103"/>
      <c r="E360" s="106" t="s">
        <v>66</v>
      </c>
      <c r="F360" s="106" t="s">
        <v>68</v>
      </c>
      <c r="G360" s="107"/>
      <c r="H360" s="107"/>
      <c r="I360" s="107"/>
      <c r="J360" s="107"/>
      <c r="K360" s="107"/>
      <c r="L360" s="107"/>
      <c r="M360" s="107"/>
      <c r="N360" s="107"/>
      <c r="O360" s="103"/>
      <c r="P360" s="103"/>
      <c r="Q360" s="103"/>
      <c r="R360" s="1"/>
    </row>
    <row r="361" spans="1:18">
      <c r="A361" s="3"/>
      <c r="B361" s="103"/>
      <c r="C361" s="103"/>
      <c r="D361" s="103"/>
      <c r="E361" s="106" t="s">
        <v>67</v>
      </c>
      <c r="F361" s="106" t="s">
        <v>69</v>
      </c>
      <c r="G361" s="107"/>
      <c r="H361" s="107"/>
      <c r="I361" s="107"/>
      <c r="J361" s="107"/>
      <c r="K361" s="107"/>
      <c r="L361" s="107"/>
      <c r="M361" s="107"/>
      <c r="N361" s="107"/>
      <c r="O361" s="103"/>
      <c r="P361" s="103"/>
      <c r="Q361" s="103"/>
      <c r="R361" s="1"/>
    </row>
    <row r="362" spans="1:18">
      <c r="A362" s="3"/>
      <c r="B362" s="103"/>
      <c r="C362" s="103"/>
      <c r="D362" s="103"/>
      <c r="E362" s="103"/>
      <c r="F362" s="103"/>
      <c r="G362" s="103"/>
      <c r="H362" s="103"/>
      <c r="I362" s="103"/>
      <c r="J362" s="103"/>
      <c r="K362" s="103"/>
      <c r="L362" s="103"/>
      <c r="M362" s="103"/>
      <c r="N362" s="103"/>
      <c r="O362" s="103"/>
      <c r="P362" s="103"/>
      <c r="Q362" s="103"/>
      <c r="R362" s="1"/>
    </row>
    <row r="363" spans="1:18">
      <c r="A363" s="3"/>
      <c r="B363" s="103"/>
      <c r="C363" s="124" t="s">
        <v>70</v>
      </c>
      <c r="D363" s="124"/>
      <c r="E363" s="124"/>
      <c r="F363" s="124"/>
      <c r="G363" s="103"/>
      <c r="H363" s="103"/>
      <c r="I363" s="103"/>
      <c r="J363" s="103"/>
      <c r="K363" s="103"/>
      <c r="L363" s="103"/>
      <c r="M363" s="103"/>
      <c r="N363" s="103"/>
      <c r="O363" s="103"/>
      <c r="P363" s="103"/>
      <c r="Q363" s="103"/>
      <c r="R363" s="1"/>
    </row>
    <row r="364" spans="1:18">
      <c r="A364" s="3"/>
      <c r="B364" s="103"/>
      <c r="C364" s="123" t="s">
        <v>71</v>
      </c>
      <c r="D364" s="123"/>
      <c r="E364" s="123" t="s">
        <v>33</v>
      </c>
      <c r="F364" s="123"/>
      <c r="G364" s="103"/>
      <c r="H364" s="103"/>
      <c r="I364" s="103"/>
      <c r="J364" s="103"/>
      <c r="K364" s="103"/>
      <c r="L364" s="103"/>
      <c r="M364" s="103"/>
      <c r="N364" s="103"/>
      <c r="O364" s="103"/>
      <c r="P364" s="103"/>
      <c r="Q364" s="103"/>
      <c r="R364" s="1"/>
    </row>
    <row r="365" spans="1:18">
      <c r="A365" s="3"/>
      <c r="B365" s="103"/>
      <c r="C365" s="122">
        <v>450</v>
      </c>
      <c r="D365" s="122"/>
      <c r="E365" s="123">
        <v>1.304</v>
      </c>
      <c r="F365" s="123"/>
      <c r="G365" s="103"/>
      <c r="H365" s="103"/>
      <c r="I365" s="103"/>
      <c r="J365" s="103"/>
      <c r="K365" s="103"/>
      <c r="L365" s="103"/>
      <c r="M365" s="103"/>
      <c r="N365" s="103"/>
      <c r="O365" s="103"/>
      <c r="P365" s="103"/>
      <c r="Q365" s="103"/>
      <c r="R365" s="1"/>
    </row>
    <row r="366" spans="1:18">
      <c r="A366" s="3"/>
      <c r="B366" s="103"/>
      <c r="C366" s="122">
        <v>300</v>
      </c>
      <c r="D366" s="122"/>
      <c r="E366" s="123">
        <v>1.7210000000000001</v>
      </c>
      <c r="F366" s="123"/>
      <c r="G366" s="103"/>
      <c r="H366" s="103"/>
      <c r="I366" s="103"/>
      <c r="J366" s="103"/>
      <c r="K366" s="103"/>
      <c r="L366" s="103"/>
      <c r="M366" s="103"/>
      <c r="N366" s="103"/>
      <c r="O366" s="103"/>
      <c r="P366" s="103"/>
      <c r="Q366" s="103"/>
      <c r="R366" s="1"/>
    </row>
    <row r="367" spans="1:18">
      <c r="A367" s="3"/>
      <c r="B367" s="103"/>
      <c r="C367" s="122">
        <v>150</v>
      </c>
      <c r="D367" s="122"/>
      <c r="E367" s="123">
        <v>2.46</v>
      </c>
      <c r="F367" s="123"/>
      <c r="G367" s="103"/>
      <c r="H367" s="103"/>
      <c r="I367" s="103"/>
      <c r="J367" s="103"/>
      <c r="K367" s="103"/>
      <c r="L367" s="103"/>
      <c r="M367" s="103"/>
      <c r="N367" s="103"/>
      <c r="O367" s="103"/>
      <c r="P367" s="103"/>
      <c r="Q367" s="103"/>
      <c r="R367" s="1"/>
    </row>
    <row r="368" spans="1:18">
      <c r="A368" s="3"/>
      <c r="B368" s="103"/>
      <c r="C368" s="122">
        <v>100</v>
      </c>
      <c r="D368" s="122"/>
      <c r="E368" s="123">
        <v>2.87</v>
      </c>
      <c r="F368" s="123"/>
      <c r="G368" s="103"/>
      <c r="H368" s="103"/>
      <c r="I368" s="103"/>
      <c r="J368" s="103"/>
      <c r="K368" s="103"/>
      <c r="L368" s="103"/>
      <c r="M368" s="103"/>
      <c r="N368" s="103"/>
      <c r="O368" s="103"/>
      <c r="P368" s="103"/>
      <c r="Q368" s="103"/>
      <c r="R368" s="1"/>
    </row>
    <row r="369" spans="1:18">
      <c r="A369" s="3"/>
      <c r="B369" s="103"/>
      <c r="C369" s="122" t="s">
        <v>157</v>
      </c>
      <c r="D369" s="122"/>
      <c r="E369" s="123">
        <v>1.1759999999999999</v>
      </c>
      <c r="F369" s="123"/>
      <c r="G369" s="103"/>
      <c r="H369" s="103"/>
      <c r="I369" s="103"/>
      <c r="J369" s="103"/>
      <c r="K369" s="103"/>
      <c r="L369" s="103"/>
      <c r="M369" s="103"/>
      <c r="N369" s="103"/>
      <c r="O369" s="103"/>
      <c r="P369" s="103"/>
      <c r="Q369" s="103"/>
      <c r="R369" s="1"/>
    </row>
    <row r="370" spans="1:18">
      <c r="A370" s="3"/>
      <c r="B370" s="103"/>
      <c r="C370" s="122" t="s">
        <v>158</v>
      </c>
      <c r="D370" s="122"/>
      <c r="E370" s="123">
        <v>0.88300000000000001</v>
      </c>
      <c r="F370" s="123"/>
      <c r="G370" s="103"/>
      <c r="H370" s="103"/>
      <c r="I370" s="103"/>
      <c r="J370" s="103"/>
      <c r="K370" s="103"/>
      <c r="L370" s="103"/>
      <c r="M370" s="103"/>
      <c r="N370" s="103"/>
      <c r="O370" s="103"/>
      <c r="P370" s="103"/>
      <c r="Q370" s="103"/>
      <c r="R370" s="1"/>
    </row>
    <row r="371" spans="1:18">
      <c r="A371" s="3"/>
      <c r="B371" s="103"/>
      <c r="C371" s="122" t="s">
        <v>40</v>
      </c>
      <c r="D371" s="122"/>
      <c r="E371" s="123">
        <v>1.286</v>
      </c>
      <c r="F371" s="123"/>
      <c r="G371" s="103"/>
      <c r="H371" s="103"/>
      <c r="I371" s="103"/>
      <c r="J371" s="103"/>
      <c r="K371" s="103"/>
      <c r="L371" s="103"/>
      <c r="M371" s="103"/>
      <c r="N371" s="103"/>
      <c r="O371" s="103"/>
      <c r="P371" s="103"/>
      <c r="Q371" s="103"/>
      <c r="R371" s="1"/>
    </row>
    <row r="372" spans="1:18">
      <c r="A372" s="3"/>
      <c r="B372" s="103"/>
      <c r="C372" s="122" t="s">
        <v>159</v>
      </c>
      <c r="D372" s="122"/>
      <c r="E372" s="123">
        <v>4</v>
      </c>
      <c r="F372" s="123"/>
      <c r="G372" s="103"/>
      <c r="H372" s="103"/>
      <c r="I372" s="103"/>
      <c r="J372" s="103"/>
      <c r="K372" s="103"/>
      <c r="L372" s="103"/>
      <c r="M372" s="103"/>
      <c r="N372" s="103"/>
      <c r="O372" s="103"/>
      <c r="P372" s="103"/>
      <c r="Q372" s="103"/>
      <c r="R372" s="1"/>
    </row>
    <row r="373" spans="1:18">
      <c r="A373" s="3"/>
      <c r="B373" s="103"/>
      <c r="C373" s="122" t="s">
        <v>161</v>
      </c>
      <c r="D373" s="122"/>
      <c r="E373" s="123">
        <v>5</v>
      </c>
      <c r="F373" s="123"/>
      <c r="G373" s="103"/>
      <c r="H373" s="103"/>
      <c r="I373" s="103"/>
      <c r="J373" s="103"/>
      <c r="K373" s="103"/>
      <c r="L373" s="103"/>
      <c r="M373" s="103"/>
      <c r="N373" s="103"/>
      <c r="O373" s="103"/>
      <c r="P373" s="103"/>
      <c r="Q373" s="103"/>
      <c r="R373" s="1"/>
    </row>
    <row r="374" spans="1:18">
      <c r="A374" s="81"/>
      <c r="B374" s="103"/>
      <c r="C374" s="122" t="s">
        <v>72</v>
      </c>
      <c r="D374" s="122"/>
      <c r="E374" s="123">
        <v>2</v>
      </c>
      <c r="F374" s="123"/>
      <c r="G374" s="103"/>
      <c r="H374" s="103"/>
      <c r="I374" s="103"/>
      <c r="J374" s="103"/>
      <c r="K374" s="103"/>
      <c r="L374" s="103"/>
      <c r="M374" s="103"/>
      <c r="N374" s="103"/>
      <c r="O374" s="103"/>
      <c r="P374" s="103"/>
      <c r="Q374" s="103"/>
      <c r="R374" s="1"/>
    </row>
    <row r="375" spans="1:18">
      <c r="A375" s="3"/>
      <c r="B375" s="103"/>
      <c r="C375" s="122" t="s">
        <v>160</v>
      </c>
      <c r="D375" s="122"/>
      <c r="E375" s="123">
        <v>4</v>
      </c>
      <c r="F375" s="123"/>
      <c r="G375" s="103"/>
      <c r="H375" s="103"/>
      <c r="I375" s="103"/>
      <c r="J375" s="103"/>
      <c r="K375" s="103"/>
      <c r="L375" s="103"/>
      <c r="M375" s="103"/>
      <c r="N375" s="103"/>
      <c r="O375" s="103"/>
      <c r="P375" s="103"/>
      <c r="Q375" s="103"/>
      <c r="R375" s="1"/>
    </row>
    <row r="376" spans="1:18">
      <c r="A376" s="3"/>
      <c r="B376" s="103"/>
      <c r="C376" s="103"/>
      <c r="D376" s="103"/>
      <c r="E376" s="103"/>
      <c r="F376" s="103"/>
      <c r="G376" s="103"/>
      <c r="H376" s="103"/>
      <c r="I376" s="103"/>
      <c r="J376" s="103"/>
      <c r="K376" s="103"/>
      <c r="L376" s="103"/>
      <c r="M376" s="103"/>
      <c r="N376" s="103"/>
      <c r="O376" s="103"/>
      <c r="P376" s="103"/>
      <c r="Q376" s="103"/>
      <c r="R376" s="1"/>
    </row>
    <row r="377" spans="1:18">
      <c r="A377" s="3"/>
      <c r="B377" s="154" t="s">
        <v>164</v>
      </c>
      <c r="C377" s="154"/>
      <c r="D377" s="154"/>
      <c r="E377" s="154"/>
      <c r="F377" s="154"/>
      <c r="G377" s="154"/>
      <c r="H377" s="154"/>
      <c r="I377" s="103"/>
      <c r="J377" s="103"/>
      <c r="K377" s="103"/>
      <c r="L377" s="103"/>
      <c r="M377" s="103"/>
      <c r="N377" s="103"/>
      <c r="O377" s="103"/>
      <c r="P377" s="103"/>
      <c r="Q377" s="103"/>
      <c r="R377" s="1"/>
    </row>
    <row r="378" spans="1:18">
      <c r="A378" s="3"/>
      <c r="B378" s="103"/>
      <c r="C378" s="103"/>
      <c r="D378" s="103"/>
      <c r="E378" s="103"/>
      <c r="F378" s="103"/>
      <c r="G378" s="103"/>
      <c r="H378" s="103"/>
      <c r="I378" s="103"/>
      <c r="J378" s="103"/>
      <c r="K378" s="164" t="s">
        <v>74</v>
      </c>
      <c r="L378" s="164"/>
      <c r="M378" s="164"/>
      <c r="N378" s="164"/>
      <c r="O378" s="164"/>
      <c r="P378" s="164"/>
      <c r="Q378" s="164"/>
      <c r="R378" s="1"/>
    </row>
    <row r="379" spans="1:18">
      <c r="A379" s="3"/>
      <c r="B379" s="103"/>
      <c r="C379" s="103"/>
      <c r="D379" s="103"/>
      <c r="E379" s="103"/>
      <c r="F379" s="103"/>
      <c r="G379" s="103"/>
      <c r="H379" s="103"/>
      <c r="I379" s="103"/>
      <c r="J379" s="103"/>
      <c r="K379" s="164" t="s">
        <v>75</v>
      </c>
      <c r="L379" s="164"/>
      <c r="M379" s="164"/>
      <c r="N379" s="164"/>
      <c r="O379" s="164"/>
      <c r="P379" s="164"/>
      <c r="Q379" s="164"/>
      <c r="R379" s="1"/>
    </row>
    <row r="380" spans="1:18">
      <c r="A380" s="3"/>
      <c r="B380" s="103"/>
      <c r="C380" s="103"/>
      <c r="D380" s="103"/>
      <c r="E380" s="103"/>
      <c r="F380" s="103"/>
      <c r="G380" s="103"/>
      <c r="H380" s="103"/>
      <c r="I380" s="103"/>
      <c r="J380" s="103"/>
      <c r="K380" s="165">
        <v>40835</v>
      </c>
      <c r="L380" s="164"/>
      <c r="M380" s="164"/>
      <c r="N380" s="164"/>
      <c r="O380" s="164"/>
      <c r="P380" s="164"/>
      <c r="Q380" s="164"/>
      <c r="R380" s="1"/>
    </row>
    <row r="381" spans="1:18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1"/>
    </row>
    <row r="382" spans="1:18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1"/>
    </row>
    <row r="383" spans="1:18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1"/>
    </row>
    <row r="384" spans="1:18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1"/>
    </row>
    <row r="385" spans="1:18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1"/>
    </row>
    <row r="386" spans="1:18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1"/>
    </row>
    <row r="387" spans="1:18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1"/>
    </row>
    <row r="388" spans="1:1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1"/>
    </row>
    <row r="389" spans="1:18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1"/>
    </row>
    <row r="390" spans="1:18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1"/>
    </row>
    <row r="391" spans="1:18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1"/>
    </row>
    <row r="392" spans="1:18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1"/>
    </row>
    <row r="393" spans="1:18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1"/>
    </row>
    <row r="394" spans="1:18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1"/>
    </row>
    <row r="395" spans="1:18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1"/>
    </row>
    <row r="396" spans="1:18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1"/>
    </row>
    <row r="397" spans="1:18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1"/>
    </row>
    <row r="398" spans="1:1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1"/>
    </row>
    <row r="399" spans="1:18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1"/>
    </row>
    <row r="400" spans="1:18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1"/>
    </row>
    <row r="401" spans="1:18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1"/>
    </row>
    <row r="402" spans="1:18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1"/>
    </row>
    <row r="403" spans="1:18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1"/>
    </row>
    <row r="404" spans="1:18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1"/>
    </row>
    <row r="405" spans="1:18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1"/>
    </row>
    <row r="406" spans="1:18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1"/>
    </row>
    <row r="407" spans="1:18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1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1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1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1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1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1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1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1"/>
    </row>
    <row r="415" spans="1:18">
      <c r="R415" s="1"/>
    </row>
    <row r="416" spans="1:18">
      <c r="R416" s="1"/>
    </row>
    <row r="417" spans="18:18">
      <c r="R417" s="1"/>
    </row>
    <row r="418" spans="18:18">
      <c r="R418" s="1"/>
    </row>
    <row r="419" spans="18:18">
      <c r="R419" s="1"/>
    </row>
    <row r="420" spans="18:18">
      <c r="R420" s="1"/>
    </row>
    <row r="421" spans="18:18">
      <c r="R421" s="1"/>
    </row>
    <row r="422" spans="18:18">
      <c r="R422" s="1"/>
    </row>
    <row r="423" spans="18:18">
      <c r="R423" s="1"/>
    </row>
    <row r="424" spans="18:18">
      <c r="R424" s="1"/>
    </row>
    <row r="425" spans="18:18">
      <c r="R425" s="1"/>
    </row>
    <row r="426" spans="18:18">
      <c r="R426" s="1"/>
    </row>
  </sheetData>
  <mergeCells count="399">
    <mergeCell ref="J253:N253"/>
    <mergeCell ref="O253:P253"/>
    <mergeCell ref="A252:A253"/>
    <mergeCell ref="B252:F253"/>
    <mergeCell ref="G252:G253"/>
    <mergeCell ref="H252:I253"/>
    <mergeCell ref="J265:N265"/>
    <mergeCell ref="O265:P265"/>
    <mergeCell ref="A264:A265"/>
    <mergeCell ref="B264:F265"/>
    <mergeCell ref="G264:G265"/>
    <mergeCell ref="H264:I265"/>
    <mergeCell ref="B131:F131"/>
    <mergeCell ref="K131:L131"/>
    <mergeCell ref="H132:I132"/>
    <mergeCell ref="H133:I133"/>
    <mergeCell ref="H134:I134"/>
    <mergeCell ref="B120:F120"/>
    <mergeCell ref="H120:I120"/>
    <mergeCell ref="N121:P121"/>
    <mergeCell ref="Q121:Q130"/>
    <mergeCell ref="N122:P122"/>
    <mergeCell ref="N123:P123"/>
    <mergeCell ref="N124:P124"/>
    <mergeCell ref="B115:F115"/>
    <mergeCell ref="K115:L115"/>
    <mergeCell ref="H116:I116"/>
    <mergeCell ref="H117:I117"/>
    <mergeCell ref="H118:I118"/>
    <mergeCell ref="B105:F105"/>
    <mergeCell ref="H105:I105"/>
    <mergeCell ref="N106:P106"/>
    <mergeCell ref="Q106:Q114"/>
    <mergeCell ref="N107:P107"/>
    <mergeCell ref="N108:P108"/>
    <mergeCell ref="N109:P109"/>
    <mergeCell ref="B100:F100"/>
    <mergeCell ref="K100:L100"/>
    <mergeCell ref="H101:I101"/>
    <mergeCell ref="H102:I102"/>
    <mergeCell ref="H103:I103"/>
    <mergeCell ref="B90:F90"/>
    <mergeCell ref="H90:I90"/>
    <mergeCell ref="N91:P91"/>
    <mergeCell ref="Q91:Q99"/>
    <mergeCell ref="N92:P92"/>
    <mergeCell ref="N93:P93"/>
    <mergeCell ref="N94:P94"/>
    <mergeCell ref="B85:F85"/>
    <mergeCell ref="K85:L85"/>
    <mergeCell ref="H86:I86"/>
    <mergeCell ref="H87:I87"/>
    <mergeCell ref="H88:I88"/>
    <mergeCell ref="B76:F76"/>
    <mergeCell ref="H76:I76"/>
    <mergeCell ref="N77:P77"/>
    <mergeCell ref="Q77:Q84"/>
    <mergeCell ref="N78:P78"/>
    <mergeCell ref="N79:P79"/>
    <mergeCell ref="N80:P80"/>
    <mergeCell ref="B71:F71"/>
    <mergeCell ref="K71:L71"/>
    <mergeCell ref="H72:I72"/>
    <mergeCell ref="H73:I73"/>
    <mergeCell ref="H74:I74"/>
    <mergeCell ref="B59:F59"/>
    <mergeCell ref="H59:I59"/>
    <mergeCell ref="N60:P60"/>
    <mergeCell ref="Q60:Q70"/>
    <mergeCell ref="N61:P61"/>
    <mergeCell ref="N62:P62"/>
    <mergeCell ref="N63:P63"/>
    <mergeCell ref="H56:I56"/>
    <mergeCell ref="H57:I57"/>
    <mergeCell ref="B44:F44"/>
    <mergeCell ref="H44:I44"/>
    <mergeCell ref="N45:P45"/>
    <mergeCell ref="Q45:Q53"/>
    <mergeCell ref="N46:P46"/>
    <mergeCell ref="N47:P47"/>
    <mergeCell ref="N48:P48"/>
    <mergeCell ref="H42:I42"/>
    <mergeCell ref="N27:P27"/>
    <mergeCell ref="Q27:Q38"/>
    <mergeCell ref="N28:P28"/>
    <mergeCell ref="N29:P29"/>
    <mergeCell ref="N30:P30"/>
    <mergeCell ref="B54:F54"/>
    <mergeCell ref="K54:L54"/>
    <mergeCell ref="H55:I55"/>
    <mergeCell ref="K378:Q378"/>
    <mergeCell ref="K379:Q379"/>
    <mergeCell ref="K380:Q380"/>
    <mergeCell ref="C369:D369"/>
    <mergeCell ref="E369:F369"/>
    <mergeCell ref="C370:D370"/>
    <mergeCell ref="E370:F370"/>
    <mergeCell ref="N11:P11"/>
    <mergeCell ref="B21:F21"/>
    <mergeCell ref="K21:L21"/>
    <mergeCell ref="E371:F371"/>
    <mergeCell ref="E372:F372"/>
    <mergeCell ref="E373:F373"/>
    <mergeCell ref="C364:D364"/>
    <mergeCell ref="C365:D365"/>
    <mergeCell ref="E365:F365"/>
    <mergeCell ref="C363:F363"/>
    <mergeCell ref="B377:H377"/>
    <mergeCell ref="C367:D367"/>
    <mergeCell ref="E367:F367"/>
    <mergeCell ref="C375:D375"/>
    <mergeCell ref="E375:F375"/>
    <mergeCell ref="C366:D366"/>
    <mergeCell ref="C368:D368"/>
    <mergeCell ref="N10:P10"/>
    <mergeCell ref="Q2:Q6"/>
    <mergeCell ref="M2:P2"/>
    <mergeCell ref="B2:B6"/>
    <mergeCell ref="C2:F2"/>
    <mergeCell ref="G2:L2"/>
    <mergeCell ref="C3:C6"/>
    <mergeCell ref="K3:K6"/>
    <mergeCell ref="M3:M6"/>
    <mergeCell ref="O3:O6"/>
    <mergeCell ref="J3:J6"/>
    <mergeCell ref="F3:F6"/>
    <mergeCell ref="D3:D6"/>
    <mergeCell ref="G3:G6"/>
    <mergeCell ref="I3:I6"/>
    <mergeCell ref="H3:H6"/>
    <mergeCell ref="P3:P6"/>
    <mergeCell ref="N3:N6"/>
    <mergeCell ref="L3:L6"/>
    <mergeCell ref="Q10:Q20"/>
    <mergeCell ref="A2:A6"/>
    <mergeCell ref="E3:E6"/>
    <mergeCell ref="H22:I22"/>
    <mergeCell ref="C334:I334"/>
    <mergeCell ref="D340:K340"/>
    <mergeCell ref="C331:I331"/>
    <mergeCell ref="H165:I165"/>
    <mergeCell ref="B167:F167"/>
    <mergeCell ref="H167:I167"/>
    <mergeCell ref="H183:I183"/>
    <mergeCell ref="B185:F185"/>
    <mergeCell ref="H185:I185"/>
    <mergeCell ref="H200:I200"/>
    <mergeCell ref="B202:F202"/>
    <mergeCell ref="H202:I202"/>
    <mergeCell ref="H215:I215"/>
    <mergeCell ref="B217:F217"/>
    <mergeCell ref="H217:I217"/>
    <mergeCell ref="H9:I9"/>
    <mergeCell ref="B9:F9"/>
    <mergeCell ref="B39:F39"/>
    <mergeCell ref="K39:L39"/>
    <mergeCell ref="H40:I40"/>
    <mergeCell ref="H41:I41"/>
    <mergeCell ref="C371:D371"/>
    <mergeCell ref="C372:D372"/>
    <mergeCell ref="C373:D373"/>
    <mergeCell ref="E366:F366"/>
    <mergeCell ref="E368:F368"/>
    <mergeCell ref="N12:P12"/>
    <mergeCell ref="N13:P13"/>
    <mergeCell ref="H24:I24"/>
    <mergeCell ref="H23:I23"/>
    <mergeCell ref="E364:F364"/>
    <mergeCell ref="D349:F349"/>
    <mergeCell ref="D341:K341"/>
    <mergeCell ref="C343:I343"/>
    <mergeCell ref="D347:K347"/>
    <mergeCell ref="D348:K348"/>
    <mergeCell ref="C332:I332"/>
    <mergeCell ref="C333:I333"/>
    <mergeCell ref="B26:F26"/>
    <mergeCell ref="H26:I26"/>
    <mergeCell ref="B136:F136"/>
    <mergeCell ref="H136:I136"/>
    <mergeCell ref="N137:P137"/>
    <mergeCell ref="B152:F152"/>
    <mergeCell ref="H152:I152"/>
    <mergeCell ref="Q137:Q146"/>
    <mergeCell ref="N138:P138"/>
    <mergeCell ref="N139:P139"/>
    <mergeCell ref="N140:P140"/>
    <mergeCell ref="B147:F147"/>
    <mergeCell ref="K147:L147"/>
    <mergeCell ref="H148:I148"/>
    <mergeCell ref="H149:I149"/>
    <mergeCell ref="H150:I150"/>
    <mergeCell ref="N153:P153"/>
    <mergeCell ref="Q153:Q161"/>
    <mergeCell ref="N154:P154"/>
    <mergeCell ref="N155:P155"/>
    <mergeCell ref="N156:P156"/>
    <mergeCell ref="B162:F162"/>
    <mergeCell ref="K162:L162"/>
    <mergeCell ref="H163:I163"/>
    <mergeCell ref="H164:I164"/>
    <mergeCell ref="N168:P168"/>
    <mergeCell ref="Q168:Q179"/>
    <mergeCell ref="N169:P169"/>
    <mergeCell ref="N170:P170"/>
    <mergeCell ref="N171:P171"/>
    <mergeCell ref="B180:F180"/>
    <mergeCell ref="K180:L180"/>
    <mergeCell ref="H181:I181"/>
    <mergeCell ref="H182:I182"/>
    <mergeCell ref="N186:P186"/>
    <mergeCell ref="Q186:Q196"/>
    <mergeCell ref="N187:P187"/>
    <mergeCell ref="N188:P188"/>
    <mergeCell ref="N189:P189"/>
    <mergeCell ref="B197:F197"/>
    <mergeCell ref="K197:L197"/>
    <mergeCell ref="H198:I198"/>
    <mergeCell ref="H199:I199"/>
    <mergeCell ref="N203:P203"/>
    <mergeCell ref="Q203:Q211"/>
    <mergeCell ref="N204:P204"/>
    <mergeCell ref="N205:P205"/>
    <mergeCell ref="N206:P206"/>
    <mergeCell ref="B212:F212"/>
    <mergeCell ref="K212:L212"/>
    <mergeCell ref="H213:I213"/>
    <mergeCell ref="H214:I214"/>
    <mergeCell ref="N218:P218"/>
    <mergeCell ref="Q218:Q227"/>
    <mergeCell ref="N219:P219"/>
    <mergeCell ref="N220:P220"/>
    <mergeCell ref="N221:P221"/>
    <mergeCell ref="B228:F228"/>
    <mergeCell ref="K228:L228"/>
    <mergeCell ref="H229:I229"/>
    <mergeCell ref="H230:I230"/>
    <mergeCell ref="H231:I231"/>
    <mergeCell ref="B233:F233"/>
    <mergeCell ref="H233:I233"/>
    <mergeCell ref="N234:P234"/>
    <mergeCell ref="Q234:Q244"/>
    <mergeCell ref="N235:P235"/>
    <mergeCell ref="N236:P236"/>
    <mergeCell ref="N237:P237"/>
    <mergeCell ref="B245:F245"/>
    <mergeCell ref="K245:L245"/>
    <mergeCell ref="O251:P251"/>
    <mergeCell ref="J251:N251"/>
    <mergeCell ref="J250:P250"/>
    <mergeCell ref="H250:I251"/>
    <mergeCell ref="G250:G251"/>
    <mergeCell ref="B250:F251"/>
    <mergeCell ref="A250:A251"/>
    <mergeCell ref="O252:P252"/>
    <mergeCell ref="H246:I246"/>
    <mergeCell ref="H247:I247"/>
    <mergeCell ref="H248:I248"/>
    <mergeCell ref="J252:N252"/>
    <mergeCell ref="B257:F257"/>
    <mergeCell ref="H257:I257"/>
    <mergeCell ref="J257:N257"/>
    <mergeCell ref="O257:P257"/>
    <mergeCell ref="B258:F258"/>
    <mergeCell ref="H258:I258"/>
    <mergeCell ref="J258:N258"/>
    <mergeCell ref="O258:P258"/>
    <mergeCell ref="B259:F259"/>
    <mergeCell ref="H259:I259"/>
    <mergeCell ref="J259:N259"/>
    <mergeCell ref="B254:F254"/>
    <mergeCell ref="H254:I254"/>
    <mergeCell ref="J254:N254"/>
    <mergeCell ref="O254:P254"/>
    <mergeCell ref="B255:F255"/>
    <mergeCell ref="H255:I255"/>
    <mergeCell ref="J255:N255"/>
    <mergeCell ref="O255:P255"/>
    <mergeCell ref="B256:F256"/>
    <mergeCell ref="H256:I256"/>
    <mergeCell ref="J256:N256"/>
    <mergeCell ref="O256:P256"/>
    <mergeCell ref="O259:P259"/>
    <mergeCell ref="B260:F260"/>
    <mergeCell ref="H260:I260"/>
    <mergeCell ref="J260:N260"/>
    <mergeCell ref="O260:P260"/>
    <mergeCell ref="B261:F261"/>
    <mergeCell ref="H261:I261"/>
    <mergeCell ref="J261:N261"/>
    <mergeCell ref="O261:P261"/>
    <mergeCell ref="H262:I262"/>
    <mergeCell ref="J262:N262"/>
    <mergeCell ref="O262:P262"/>
    <mergeCell ref="B263:F263"/>
    <mergeCell ref="H263:I263"/>
    <mergeCell ref="J263:N263"/>
    <mergeCell ref="O263:P263"/>
    <mergeCell ref="J264:N264"/>
    <mergeCell ref="O264:P264"/>
    <mergeCell ref="B262:F262"/>
    <mergeCell ref="B266:F266"/>
    <mergeCell ref="H266:I266"/>
    <mergeCell ref="J266:N266"/>
    <mergeCell ref="O266:P266"/>
    <mergeCell ref="B267:F267"/>
    <mergeCell ref="H267:I267"/>
    <mergeCell ref="J267:N267"/>
    <mergeCell ref="O267:P267"/>
    <mergeCell ref="B268:F268"/>
    <mergeCell ref="H268:I268"/>
    <mergeCell ref="J268:N268"/>
    <mergeCell ref="O268:P268"/>
    <mergeCell ref="B269:F269"/>
    <mergeCell ref="H269:I269"/>
    <mergeCell ref="J269:N269"/>
    <mergeCell ref="O269:P269"/>
    <mergeCell ref="B270:F270"/>
    <mergeCell ref="H270:I270"/>
    <mergeCell ref="J270:N270"/>
    <mergeCell ref="O270:P270"/>
    <mergeCell ref="B271:F271"/>
    <mergeCell ref="H271:I271"/>
    <mergeCell ref="J271:N271"/>
    <mergeCell ref="O271:P271"/>
    <mergeCell ref="B272:F272"/>
    <mergeCell ref="H272:I272"/>
    <mergeCell ref="J272:N272"/>
    <mergeCell ref="O272:P272"/>
    <mergeCell ref="B273:F273"/>
    <mergeCell ref="H273:I273"/>
    <mergeCell ref="J273:N273"/>
    <mergeCell ref="O273:P273"/>
    <mergeCell ref="B274:F274"/>
    <mergeCell ref="H274:I274"/>
    <mergeCell ref="J274:N274"/>
    <mergeCell ref="O274:P274"/>
    <mergeCell ref="C374:D374"/>
    <mergeCell ref="E374:F374"/>
    <mergeCell ref="C293:E293"/>
    <mergeCell ref="C294:E294"/>
    <mergeCell ref="C295:E295"/>
    <mergeCell ref="C296:E296"/>
    <mergeCell ref="C297:E297"/>
    <mergeCell ref="C298:E298"/>
    <mergeCell ref="H293:J293"/>
    <mergeCell ref="H294:J294"/>
    <mergeCell ref="H295:J295"/>
    <mergeCell ref="H296:J296"/>
    <mergeCell ref="H297:J297"/>
    <mergeCell ref="H298:J298"/>
    <mergeCell ref="F301:G301"/>
    <mergeCell ref="H301:I301"/>
    <mergeCell ref="F302:G302"/>
    <mergeCell ref="H302:I302"/>
    <mergeCell ref="F303:G303"/>
    <mergeCell ref="H303:I303"/>
    <mergeCell ref="F304:G304"/>
    <mergeCell ref="H304:I304"/>
    <mergeCell ref="F305:G305"/>
    <mergeCell ref="H305:I305"/>
    <mergeCell ref="M293:O293"/>
    <mergeCell ref="M294:O294"/>
    <mergeCell ref="M295:O295"/>
    <mergeCell ref="M296:O296"/>
    <mergeCell ref="M297:O297"/>
    <mergeCell ref="M298:O298"/>
    <mergeCell ref="C292:E292"/>
    <mergeCell ref="H292:J292"/>
    <mergeCell ref="M292:O292"/>
    <mergeCell ref="F311:G311"/>
    <mergeCell ref="H311:I311"/>
    <mergeCell ref="F312:G312"/>
    <mergeCell ref="H312:I312"/>
    <mergeCell ref="F300:I300"/>
    <mergeCell ref="B314:D314"/>
    <mergeCell ref="G316:I316"/>
    <mergeCell ref="I317:M317"/>
    <mergeCell ref="F306:G306"/>
    <mergeCell ref="H306:I306"/>
    <mergeCell ref="F307:G307"/>
    <mergeCell ref="H307:I307"/>
    <mergeCell ref="F308:G308"/>
    <mergeCell ref="H308:I308"/>
    <mergeCell ref="F309:G309"/>
    <mergeCell ref="H309:I309"/>
    <mergeCell ref="F310:G310"/>
    <mergeCell ref="H310:I310"/>
    <mergeCell ref="I326:M326"/>
    <mergeCell ref="I327:M327"/>
    <mergeCell ref="I328:M328"/>
    <mergeCell ref="I318:M318"/>
    <mergeCell ref="I319:M319"/>
    <mergeCell ref="I320:M320"/>
    <mergeCell ref="C316:E316"/>
    <mergeCell ref="C322:E322"/>
    <mergeCell ref="G322:J322"/>
    <mergeCell ref="I323:M323"/>
    <mergeCell ref="I324:M324"/>
    <mergeCell ref="I325:M325"/>
  </mergeCells>
  <phoneticPr fontId="0" type="noConversion"/>
  <pageMargins left="0.59055118110236227" right="0.59055118110236227" top="0.78740157480314965" bottom="0.59055118110236227" header="0.51181102362204722" footer="0.51181102362204722"/>
  <pageSetup paperSize="9" orientation="portrait" horizontalDpi="180" verticalDpi="180" r:id="rId1"/>
  <headerFooter alignWithMargins="0">
    <oddHeader>&amp;L&amp;8&amp;G&amp;R&amp;8Výpočet tepelných ztrát - HB-Nocležna III.</oddHeader>
    <oddFooter>&amp;C&amp;8Strana &amp;P z &amp;N</oddFooter>
  </headerFooter>
  <legacyDrawing r:id="rId2"/>
  <legacyDrawingHF r:id="rId3"/>
  <oleObjects>
    <oleObject progId="Equation.3" shapeId="1025" r:id="rId4"/>
    <oleObject progId="Equation.3" shapeId="1026" r:id="rId5"/>
    <oleObject progId="Equation.3" shapeId="1027" r:id="rId6"/>
    <oleObject progId="Equation.3" shapeId="1028" r:id="rId7"/>
    <oleObject progId="Equation.3" shapeId="1029" r:id="rId8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Tep_ztraty_Nocležna_III</vt:lpstr>
      <vt:lpstr>List2</vt:lpstr>
      <vt:lpstr>List3</vt:lpstr>
    </vt:vector>
  </TitlesOfParts>
  <Company>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Havoc</dc:creator>
  <cp:lastModifiedBy>Pavel Viktora</cp:lastModifiedBy>
  <cp:lastPrinted>2012-01-05T14:47:39Z</cp:lastPrinted>
  <dcterms:created xsi:type="dcterms:W3CDTF">2002-03-04T20:45:10Z</dcterms:created>
  <dcterms:modified xsi:type="dcterms:W3CDTF">2012-01-09T07:25:19Z</dcterms:modified>
</cp:coreProperties>
</file>